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3'!$E$1:$Q$190</definedName>
    <definedName name="_xlnm.Print_Titles" localSheetId="0">'дод 3'!$6:$10</definedName>
    <definedName name="_xlnm.Print_Area" localSheetId="0">'дод 3'!$A$1:$Q$189</definedName>
  </definedNames>
  <calcPr calcId="125725"/>
</workbook>
</file>

<file path=xl/calcChain.xml><?xml version="1.0" encoding="utf-8"?>
<calcChain xmlns="http://schemas.openxmlformats.org/spreadsheetml/2006/main">
  <c r="F183" i="4"/>
  <c r="G144"/>
  <c r="J162"/>
  <c r="G52"/>
  <c r="G15"/>
  <c r="L151" l="1"/>
  <c r="L52"/>
  <c r="P151"/>
  <c r="K151" s="1"/>
  <c r="Q151" s="1"/>
  <c r="G17"/>
  <c r="P15"/>
  <c r="L15"/>
  <c r="P59"/>
  <c r="L59"/>
  <c r="P115"/>
  <c r="L115"/>
  <c r="G115"/>
  <c r="G158"/>
  <c r="L147"/>
  <c r="L158"/>
  <c r="L144"/>
  <c r="P13"/>
  <c r="L13"/>
  <c r="G13"/>
  <c r="G59"/>
  <c r="G54"/>
  <c r="G31"/>
  <c r="P36"/>
  <c r="K36" s="1"/>
  <c r="L34"/>
  <c r="P16"/>
  <c r="L16"/>
  <c r="P61"/>
  <c r="L61"/>
  <c r="G16"/>
  <c r="G42"/>
  <c r="L36"/>
  <c r="P52"/>
  <c r="G113"/>
  <c r="G116"/>
  <c r="G118"/>
  <c r="P17"/>
  <c r="L17"/>
  <c r="G51"/>
  <c r="F31"/>
  <c r="Q31" s="1"/>
  <c r="F162"/>
  <c r="M53"/>
  <c r="H52"/>
  <c r="F52"/>
  <c r="G53"/>
  <c r="J36"/>
  <c r="G36"/>
  <c r="G64"/>
  <c r="Q148"/>
  <c r="K148"/>
  <c r="P34"/>
  <c r="K34" s="1"/>
  <c r="Q34" s="1"/>
  <c r="F153"/>
  <c r="F154"/>
  <c r="F155"/>
  <c r="F156"/>
  <c r="F157"/>
  <c r="F185"/>
  <c r="M158"/>
  <c r="M166"/>
  <c r="P42"/>
  <c r="L152"/>
  <c r="P152" s="1"/>
  <c r="K152" s="1"/>
  <c r="P30"/>
  <c r="L30"/>
  <c r="L141"/>
  <c r="P141" s="1"/>
  <c r="K141" s="1"/>
  <c r="P161"/>
  <c r="L161"/>
  <c r="P128"/>
  <c r="L128"/>
  <c r="P53"/>
  <c r="L53"/>
  <c r="L106"/>
  <c r="K103"/>
  <c r="K104"/>
  <c r="K106"/>
  <c r="Q106" s="1"/>
  <c r="P35"/>
  <c r="L35"/>
  <c r="K139"/>
  <c r="Q139"/>
  <c r="K137"/>
  <c r="L118"/>
  <c r="P130"/>
  <c r="L130"/>
  <c r="P157"/>
  <c r="L157"/>
  <c r="K157"/>
  <c r="Q157" s="1"/>
  <c r="F167"/>
  <c r="Q167"/>
  <c r="P144"/>
  <c r="K144" s="1"/>
  <c r="K167"/>
  <c r="H111"/>
  <c r="G111"/>
  <c r="F144"/>
  <c r="G30"/>
  <c r="F30" s="1"/>
  <c r="Q30" s="1"/>
  <c r="G43"/>
  <c r="J143"/>
  <c r="J141"/>
  <c r="H51"/>
  <c r="H55"/>
  <c r="G55"/>
  <c r="F46"/>
  <c r="G128"/>
  <c r="G20"/>
  <c r="G58"/>
  <c r="G49"/>
  <c r="G145"/>
  <c r="G97"/>
  <c r="G123"/>
  <c r="G126"/>
  <c r="G125"/>
  <c r="G127"/>
  <c r="H117"/>
  <c r="G117"/>
  <c r="H113"/>
  <c r="H116"/>
  <c r="H115"/>
  <c r="H114"/>
  <c r="G114"/>
  <c r="H170"/>
  <c r="G170"/>
  <c r="H123"/>
  <c r="H122" s="1"/>
  <c r="H121" s="1"/>
  <c r="H49"/>
  <c r="H133"/>
  <c r="G133"/>
  <c r="H69"/>
  <c r="G69"/>
  <c r="H178"/>
  <c r="H177" s="1"/>
  <c r="H176" s="1"/>
  <c r="G178"/>
  <c r="G22"/>
  <c r="F22" s="1"/>
  <c r="Q22" s="1"/>
  <c r="H58"/>
  <c r="F16"/>
  <c r="Q16" s="1"/>
  <c r="K16"/>
  <c r="F95"/>
  <c r="Q95" s="1"/>
  <c r="F87"/>
  <c r="Q87" s="1"/>
  <c r="D68"/>
  <c r="F34"/>
  <c r="F13"/>
  <c r="P65"/>
  <c r="P48"/>
  <c r="P47" s="1"/>
  <c r="L65"/>
  <c r="L48" s="1"/>
  <c r="L47" s="1"/>
  <c r="G18"/>
  <c r="F18" s="1"/>
  <c r="Q18" s="1"/>
  <c r="K30"/>
  <c r="H128"/>
  <c r="F126"/>
  <c r="F125"/>
  <c r="I170"/>
  <c r="I169"/>
  <c r="I168" s="1"/>
  <c r="H110"/>
  <c r="H109" s="1"/>
  <c r="I110"/>
  <c r="I109" s="1"/>
  <c r="J110"/>
  <c r="J109"/>
  <c r="L110"/>
  <c r="L109"/>
  <c r="M110"/>
  <c r="M109"/>
  <c r="N110"/>
  <c r="O110"/>
  <c r="H12"/>
  <c r="H11" s="1"/>
  <c r="I12"/>
  <c r="I11" s="1"/>
  <c r="J12"/>
  <c r="J11" s="1"/>
  <c r="M12"/>
  <c r="M11" s="1"/>
  <c r="N12"/>
  <c r="O12"/>
  <c r="O11"/>
  <c r="I177"/>
  <c r="I176"/>
  <c r="J177"/>
  <c r="J176"/>
  <c r="L177"/>
  <c r="L176"/>
  <c r="M177"/>
  <c r="N177"/>
  <c r="N176" s="1"/>
  <c r="O177"/>
  <c r="O176" s="1"/>
  <c r="P177"/>
  <c r="P176"/>
  <c r="K178"/>
  <c r="K180"/>
  <c r="F180"/>
  <c r="Q180" s="1"/>
  <c r="G179"/>
  <c r="G177"/>
  <c r="G176" s="1"/>
  <c r="H169"/>
  <c r="H168" s="1"/>
  <c r="J169"/>
  <c r="J168" s="1"/>
  <c r="L169"/>
  <c r="M169"/>
  <c r="M168"/>
  <c r="N169"/>
  <c r="N168"/>
  <c r="O169"/>
  <c r="K174"/>
  <c r="F174"/>
  <c r="Q174"/>
  <c r="G171"/>
  <c r="F171"/>
  <c r="K165"/>
  <c r="F165"/>
  <c r="K161"/>
  <c r="Q161"/>
  <c r="F161"/>
  <c r="K159"/>
  <c r="F159"/>
  <c r="Q159" s="1"/>
  <c r="L132"/>
  <c r="L131" s="1"/>
  <c r="M132"/>
  <c r="M131"/>
  <c r="N132"/>
  <c r="N131"/>
  <c r="O132"/>
  <c r="O131"/>
  <c r="F141"/>
  <c r="Q141" s="1"/>
  <c r="F136"/>
  <c r="G134"/>
  <c r="I122"/>
  <c r="I121" s="1"/>
  <c r="J122"/>
  <c r="L122"/>
  <c r="L121" s="1"/>
  <c r="M122"/>
  <c r="M121" s="1"/>
  <c r="N122"/>
  <c r="N121" s="1"/>
  <c r="O122"/>
  <c r="O121" s="1"/>
  <c r="F119"/>
  <c r="K130"/>
  <c r="F130"/>
  <c r="Q130" s="1"/>
  <c r="G124"/>
  <c r="K33"/>
  <c r="K35"/>
  <c r="K37"/>
  <c r="K38"/>
  <c r="K39"/>
  <c r="K40"/>
  <c r="K41"/>
  <c r="K42"/>
  <c r="K43"/>
  <c r="K44"/>
  <c r="K45"/>
  <c r="K14"/>
  <c r="K15"/>
  <c r="K17"/>
  <c r="K18"/>
  <c r="K19"/>
  <c r="K20"/>
  <c r="K21"/>
  <c r="K22"/>
  <c r="K23"/>
  <c r="K24"/>
  <c r="Q24" s="1"/>
  <c r="K25"/>
  <c r="K26"/>
  <c r="K27"/>
  <c r="K28"/>
  <c r="Q28" s="1"/>
  <c r="K29"/>
  <c r="K31"/>
  <c r="K32"/>
  <c r="K64"/>
  <c r="K107"/>
  <c r="K120"/>
  <c r="F120"/>
  <c r="Q120" s="1"/>
  <c r="G112"/>
  <c r="F107"/>
  <c r="Q107" s="1"/>
  <c r="G70"/>
  <c r="F70" s="1"/>
  <c r="Q70" s="1"/>
  <c r="G79"/>
  <c r="F64"/>
  <c r="Q64" s="1"/>
  <c r="M48"/>
  <c r="M47" s="1"/>
  <c r="N48"/>
  <c r="N47" s="1"/>
  <c r="O48"/>
  <c r="O47" s="1"/>
  <c r="I48"/>
  <c r="I47" s="1"/>
  <c r="H48"/>
  <c r="H47" s="1"/>
  <c r="G50"/>
  <c r="G48" s="1"/>
  <c r="F43"/>
  <c r="Q43" s="1"/>
  <c r="G14"/>
  <c r="G12" s="1"/>
  <c r="G11" s="1"/>
  <c r="G25"/>
  <c r="F25"/>
  <c r="Q25" s="1"/>
  <c r="G29"/>
  <c r="F29" s="1"/>
  <c r="Q29" s="1"/>
  <c r="F36"/>
  <c r="F35"/>
  <c r="Q35" s="1"/>
  <c r="F33"/>
  <c r="Q33" s="1"/>
  <c r="F37"/>
  <c r="Q37" s="1"/>
  <c r="F38"/>
  <c r="F39"/>
  <c r="Q39" s="1"/>
  <c r="F40"/>
  <c r="F41"/>
  <c r="K51"/>
  <c r="K52"/>
  <c r="K53"/>
  <c r="K54"/>
  <c r="K57"/>
  <c r="K58"/>
  <c r="K59"/>
  <c r="K60"/>
  <c r="K61"/>
  <c r="K62"/>
  <c r="K63"/>
  <c r="J48"/>
  <c r="F15"/>
  <c r="F17"/>
  <c r="F19"/>
  <c r="Q19"/>
  <c r="F20"/>
  <c r="F21"/>
  <c r="Q21" s="1"/>
  <c r="F23"/>
  <c r="Q23" s="1"/>
  <c r="F24"/>
  <c r="F26"/>
  <c r="Q26"/>
  <c r="F27"/>
  <c r="Q27"/>
  <c r="F28"/>
  <c r="F32"/>
  <c r="Q32" s="1"/>
  <c r="F42"/>
  <c r="Q42" s="1"/>
  <c r="F44"/>
  <c r="Q44" s="1"/>
  <c r="F45"/>
  <c r="F118"/>
  <c r="F111"/>
  <c r="F112"/>
  <c r="Q112" s="1"/>
  <c r="F113"/>
  <c r="F114"/>
  <c r="F115"/>
  <c r="F116"/>
  <c r="Q116" s="1"/>
  <c r="F117"/>
  <c r="F133"/>
  <c r="F134"/>
  <c r="F135"/>
  <c r="F137"/>
  <c r="Q137" s="1"/>
  <c r="F138"/>
  <c r="Q138" s="1"/>
  <c r="F140"/>
  <c r="F142"/>
  <c r="Q142" s="1"/>
  <c r="F143"/>
  <c r="F145"/>
  <c r="F146"/>
  <c r="F147"/>
  <c r="F149"/>
  <c r="F150"/>
  <c r="F151"/>
  <c r="F152"/>
  <c r="Q152" s="1"/>
  <c r="Q154"/>
  <c r="Q156"/>
  <c r="F158"/>
  <c r="F160"/>
  <c r="Q160" s="1"/>
  <c r="F163"/>
  <c r="F164"/>
  <c r="F166"/>
  <c r="F123"/>
  <c r="F128"/>
  <c r="Q128" s="1"/>
  <c r="K128"/>
  <c r="F127"/>
  <c r="Q127"/>
  <c r="F124"/>
  <c r="F186"/>
  <c r="F184"/>
  <c r="F182"/>
  <c r="Q182" s="1"/>
  <c r="F181"/>
  <c r="Q181"/>
  <c r="J79"/>
  <c r="J68"/>
  <c r="J67" s="1"/>
  <c r="F170"/>
  <c r="F172"/>
  <c r="Q172"/>
  <c r="F173"/>
  <c r="F175"/>
  <c r="P123"/>
  <c r="P170"/>
  <c r="P169" s="1"/>
  <c r="P168" s="1"/>
  <c r="P153"/>
  <c r="K153" s="1"/>
  <c r="P158"/>
  <c r="K158" s="1"/>
  <c r="F76"/>
  <c r="Q76" s="1"/>
  <c r="K76"/>
  <c r="F78"/>
  <c r="Q78"/>
  <c r="K78"/>
  <c r="F51"/>
  <c r="Q51" s="1"/>
  <c r="P129"/>
  <c r="K129" s="1"/>
  <c r="L168"/>
  <c r="K140"/>
  <c r="Q140"/>
  <c r="P118"/>
  <c r="K118"/>
  <c r="P175"/>
  <c r="K175"/>
  <c r="Q175" s="1"/>
  <c r="P173"/>
  <c r="K173"/>
  <c r="Q173" s="1"/>
  <c r="K171"/>
  <c r="Q171" s="1"/>
  <c r="K172"/>
  <c r="F58"/>
  <c r="K70"/>
  <c r="F50"/>
  <c r="K50"/>
  <c r="K66"/>
  <c r="Q66" s="1"/>
  <c r="F66"/>
  <c r="P163"/>
  <c r="K163" s="1"/>
  <c r="Q163" s="1"/>
  <c r="K183"/>
  <c r="Q183"/>
  <c r="O168"/>
  <c r="D169"/>
  <c r="P105"/>
  <c r="K105" s="1"/>
  <c r="F105"/>
  <c r="F71"/>
  <c r="Q71" s="1"/>
  <c r="K71"/>
  <c r="Q60"/>
  <c r="K127"/>
  <c r="F59"/>
  <c r="Q59" s="1"/>
  <c r="P147"/>
  <c r="K147" s="1"/>
  <c r="Q147" s="1"/>
  <c r="P155"/>
  <c r="K155" s="1"/>
  <c r="P125"/>
  <c r="K125" s="1"/>
  <c r="K122" s="1"/>
  <c r="P111"/>
  <c r="K145"/>
  <c r="F77"/>
  <c r="Q77" s="1"/>
  <c r="K77"/>
  <c r="F101"/>
  <c r="K101"/>
  <c r="F53"/>
  <c r="Q53" s="1"/>
  <c r="F97"/>
  <c r="K97"/>
  <c r="K115"/>
  <c r="F55"/>
  <c r="Q55"/>
  <c r="F49"/>
  <c r="K49"/>
  <c r="Q49" s="1"/>
  <c r="F86"/>
  <c r="K86"/>
  <c r="F79"/>
  <c r="F72"/>
  <c r="Q72" s="1"/>
  <c r="K72"/>
  <c r="P150"/>
  <c r="K150" s="1"/>
  <c r="Q150" s="1"/>
  <c r="F62"/>
  <c r="P149"/>
  <c r="K149" s="1"/>
  <c r="Q149" s="1"/>
  <c r="P146"/>
  <c r="K146"/>
  <c r="Q146" s="1"/>
  <c r="P138"/>
  <c r="K138" s="1"/>
  <c r="J132"/>
  <c r="J131" s="1"/>
  <c r="K166"/>
  <c r="P154"/>
  <c r="K154" s="1"/>
  <c r="G89"/>
  <c r="F89"/>
  <c r="Q89" s="1"/>
  <c r="K89"/>
  <c r="P156"/>
  <c r="K156" s="1"/>
  <c r="P143"/>
  <c r="K143" s="1"/>
  <c r="Q143" s="1"/>
  <c r="I132"/>
  <c r="I131" s="1"/>
  <c r="F63"/>
  <c r="Q63" s="1"/>
  <c r="J47"/>
  <c r="H132"/>
  <c r="H131" s="1"/>
  <c r="K182"/>
  <c r="K177" s="1"/>
  <c r="K176" s="1"/>
  <c r="K108"/>
  <c r="F108"/>
  <c r="Q108" s="1"/>
  <c r="K135"/>
  <c r="K102"/>
  <c r="F102"/>
  <c r="Q102" s="1"/>
  <c r="M79"/>
  <c r="N79"/>
  <c r="N68" s="1"/>
  <c r="N67" s="1"/>
  <c r="O79"/>
  <c r="O68"/>
  <c r="O67" s="1"/>
  <c r="P79"/>
  <c r="P68" s="1"/>
  <c r="P67" s="1"/>
  <c r="L79"/>
  <c r="L68" s="1"/>
  <c r="L67" s="1"/>
  <c r="H79"/>
  <c r="H68" s="1"/>
  <c r="H67" s="1"/>
  <c r="I79"/>
  <c r="I68"/>
  <c r="I67" s="1"/>
  <c r="F100"/>
  <c r="K100"/>
  <c r="P116"/>
  <c r="K116" s="1"/>
  <c r="F98"/>
  <c r="Q98"/>
  <c r="K98"/>
  <c r="F99"/>
  <c r="F94"/>
  <c r="Q124"/>
  <c r="J121"/>
  <c r="F65"/>
  <c r="Q65" s="1"/>
  <c r="K184"/>
  <c r="Q184"/>
  <c r="F96"/>
  <c r="F129"/>
  <c r="Q129" s="1"/>
  <c r="F104"/>
  <c r="Q104" s="1"/>
  <c r="K186"/>
  <c r="Q186"/>
  <c r="K179"/>
  <c r="D177"/>
  <c r="K164"/>
  <c r="Q164"/>
  <c r="K160"/>
  <c r="K142"/>
  <c r="K134"/>
  <c r="Q134" s="1"/>
  <c r="K133"/>
  <c r="Q133" s="1"/>
  <c r="D132"/>
  <c r="K126"/>
  <c r="Q126" s="1"/>
  <c r="K123"/>
  <c r="D122"/>
  <c r="K117"/>
  <c r="Q117" s="1"/>
  <c r="K113"/>
  <c r="Q113"/>
  <c r="K114"/>
  <c r="K112"/>
  <c r="O109"/>
  <c r="N109"/>
  <c r="D110"/>
  <c r="K99"/>
  <c r="K96"/>
  <c r="Q96" s="1"/>
  <c r="K75"/>
  <c r="F75"/>
  <c r="Q75" s="1"/>
  <c r="K74"/>
  <c r="F74"/>
  <c r="Q74" s="1"/>
  <c r="K94"/>
  <c r="K93"/>
  <c r="F93"/>
  <c r="Q93" s="1"/>
  <c r="K92"/>
  <c r="F92"/>
  <c r="Q92" s="1"/>
  <c r="K91"/>
  <c r="Q91" s="1"/>
  <c r="F91"/>
  <c r="K90"/>
  <c r="Q90" s="1"/>
  <c r="F90"/>
  <c r="K85"/>
  <c r="Q85"/>
  <c r="F85"/>
  <c r="K84"/>
  <c r="F84"/>
  <c r="Q84"/>
  <c r="K83"/>
  <c r="F83"/>
  <c r="Q83" s="1"/>
  <c r="K82"/>
  <c r="K81"/>
  <c r="Q81" s="1"/>
  <c r="F81"/>
  <c r="K80"/>
  <c r="K79" s="1"/>
  <c r="Q79" s="1"/>
  <c r="K69"/>
  <c r="K73"/>
  <c r="K88"/>
  <c r="Q88" s="1"/>
  <c r="F80"/>
  <c r="F88"/>
  <c r="F73"/>
  <c r="F61"/>
  <c r="Q61" s="1"/>
  <c r="F54"/>
  <c r="Q54" s="1"/>
  <c r="N11"/>
  <c r="F103"/>
  <c r="Q103" s="1"/>
  <c r="F57"/>
  <c r="Q57" s="1"/>
  <c r="F82"/>
  <c r="Q82" s="1"/>
  <c r="Q56"/>
  <c r="F69"/>
  <c r="Q69" s="1"/>
  <c r="P136"/>
  <c r="P119"/>
  <c r="K119" s="1"/>
  <c r="Q119" s="1"/>
  <c r="Q94"/>
  <c r="M68"/>
  <c r="M67"/>
  <c r="G110"/>
  <c r="G109" s="1"/>
  <c r="Q86"/>
  <c r="Q100"/>
  <c r="Q50"/>
  <c r="Q101"/>
  <c r="Q97"/>
  <c r="M176"/>
  <c r="F178"/>
  <c r="Q178"/>
  <c r="F179"/>
  <c r="Q179" s="1"/>
  <c r="G169"/>
  <c r="G168" s="1"/>
  <c r="Q135"/>
  <c r="F169"/>
  <c r="F168" s="1"/>
  <c r="Q40"/>
  <c r="G122"/>
  <c r="G121" s="1"/>
  <c r="Q165"/>
  <c r="Q73"/>
  <c r="Q62"/>
  <c r="Q58"/>
  <c r="Q45"/>
  <c r="Q20"/>
  <c r="Q38"/>
  <c r="P122"/>
  <c r="P121" s="1"/>
  <c r="Q118"/>
  <c r="K65"/>
  <c r="Q114"/>
  <c r="Q123"/>
  <c r="Q99"/>
  <c r="Q166"/>
  <c r="Q145"/>
  <c r="Q41"/>
  <c r="G132"/>
  <c r="G131" s="1"/>
  <c r="L12"/>
  <c r="L11" s="1"/>
  <c r="F122"/>
  <c r="F121" s="1"/>
  <c r="K48" l="1"/>
  <c r="K47" s="1"/>
  <c r="P110"/>
  <c r="P109" s="1"/>
  <c r="Q115"/>
  <c r="Q158"/>
  <c r="Q36"/>
  <c r="Q15"/>
  <c r="Q144"/>
  <c r="P132"/>
  <c r="P131" s="1"/>
  <c r="Q17"/>
  <c r="J187"/>
  <c r="M187"/>
  <c r="Q52"/>
  <c r="F132"/>
  <c r="F131" s="1"/>
  <c r="K121"/>
  <c r="Q122"/>
  <c r="L187"/>
  <c r="Q105"/>
  <c r="Q153"/>
  <c r="N187"/>
  <c r="H187"/>
  <c r="G47"/>
  <c r="F48"/>
  <c r="O187"/>
  <c r="Q121"/>
  <c r="K68"/>
  <c r="K67" s="1"/>
  <c r="Q155"/>
  <c r="I187"/>
  <c r="Q125"/>
  <c r="K111"/>
  <c r="K170"/>
  <c r="G68"/>
  <c r="F177"/>
  <c r="Q80"/>
  <c r="F14"/>
  <c r="Q14" s="1"/>
  <c r="F110"/>
  <c r="K136"/>
  <c r="Q136" s="1"/>
  <c r="G187" l="1"/>
  <c r="K110"/>
  <c r="K109" s="1"/>
  <c r="Q111"/>
  <c r="Q170"/>
  <c r="K169"/>
  <c r="K132"/>
  <c r="F109"/>
  <c r="Q48"/>
  <c r="F47"/>
  <c r="Q47" s="1"/>
  <c r="F68"/>
  <c r="G67"/>
  <c r="Q177"/>
  <c r="F176"/>
  <c r="Q176" s="1"/>
  <c r="F12"/>
  <c r="K168" l="1"/>
  <c r="Q168" s="1"/>
  <c r="Q169"/>
  <c r="K131"/>
  <c r="Q132"/>
  <c r="F11"/>
  <c r="F67"/>
  <c r="Q67" s="1"/>
  <c r="Q68"/>
  <c r="Q110"/>
  <c r="Q109" s="1"/>
  <c r="Q131" l="1"/>
  <c r="F187"/>
  <c r="P12"/>
  <c r="P11" s="1"/>
  <c r="P187" s="1"/>
  <c r="K13"/>
  <c r="Q13" s="1"/>
  <c r="K12" l="1"/>
  <c r="Q12" s="1"/>
  <c r="K11" l="1"/>
  <c r="Q11" s="1"/>
  <c r="K187" l="1"/>
  <c r="Q187" s="1"/>
</calcChain>
</file>

<file path=xl/sharedStrings.xml><?xml version="1.0" encoding="utf-8"?>
<sst xmlns="http://schemas.openxmlformats.org/spreadsheetml/2006/main" count="749" uniqueCount="518">
  <si>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</si>
  <si>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</si>
  <si>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</si>
  <si>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</si>
  <si>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</si>
  <si>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</si>
  <si>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</si>
  <si>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</si>
  <si>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</si>
  <si>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</si>
  <si>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</si>
  <si>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</si>
  <si>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</si>
  <si>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</si>
  <si>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</si>
  <si>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</si>
  <si>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</si>
  <si>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</si>
  <si>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</si>
  <si>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</si>
  <si>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</si>
  <si>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</si>
  <si>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</si>
  <si>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</si>
  <si>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</si>
  <si>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</si>
  <si>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</si>
  <si>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</si>
  <si>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</si>
  <si>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</si>
  <si>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</si>
  <si>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</si>
  <si>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</si>
  <si>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</si>
  <si>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</si>
  <si>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</si>
  <si>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</si>
  <si>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</si>
  <si>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</si>
  <si>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</si>
  <si>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</si>
  <si>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</si>
  <si>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</si>
  <si>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</si>
  <si>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</si>
  <si>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</si>
  <si>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</si>
  <si>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</si>
  <si>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</si>
  <si>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</si>
  <si>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</si>
  <si>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</si>
  <si>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</si>
  <si>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</si>
  <si>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</si>
  <si>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</si>
  <si>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</si>
  <si>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</si>
  <si>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</si>
  <si>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</si>
  <si>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</si>
  <si>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</si>
  <si>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</si>
  <si>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</si>
  <si>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</si>
  <si>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</si>
  <si>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</si>
  <si>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</si>
  <si>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</si>
  <si>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</si>
  <si>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</si>
  <si>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</si>
  <si>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</si>
  <si>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</si>
  <si>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</si>
  <si>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</si>
  <si>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</si>
  <si>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</si>
  <si>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</si>
  <si>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</si>
  <si>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</si>
  <si>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</si>
  <si>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</si>
  <si>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</si>
  <si>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</si>
  <si>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</si>
  <si>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</si>
  <si>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</si>
  <si>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</si>
  <si>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</si>
  <si>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</si>
  <si>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</si>
  <si>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</si>
  <si>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</si>
  <si>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</si>
  <si>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</si>
  <si>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</si>
  <si>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</si>
  <si>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</si>
  <si>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</si>
  <si>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</si>
  <si>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</si>
  <si>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</si>
  <si>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</si>
  <si>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</si>
  <si>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</si>
  <si>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</si>
  <si>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</si>
  <si>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</si>
  <si>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</si>
  <si>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</si>
  <si>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</si>
  <si>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</si>
  <si>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</si>
  <si>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</si>
  <si>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</si>
  <si>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</si>
  <si>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</si>
  <si>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</si>
  <si>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</si>
  <si>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</si>
  <si>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</si>
  <si>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</si>
  <si>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</si>
  <si>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</si>
  <si>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</si>
  <si>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</si>
  <si>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</si>
  <si>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</si>
  <si>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</si>
  <si>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</si>
  <si>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</si>
  <si>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</si>
  <si>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</si>
  <si>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</si>
  <si>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</si>
  <si>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</si>
  <si>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</si>
  <si>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</si>
  <si>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</si>
  <si>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</si>
  <si>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</si>
  <si>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</si>
  <si>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</si>
  <si>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</si>
  <si>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</si>
  <si>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</si>
  <si>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</si>
  <si>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</si>
  <si>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</si>
  <si>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</si>
  <si>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</si>
  <si>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</si>
  <si>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</si>
  <si>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</si>
  <si>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</si>
  <si>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</si>
  <si>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</si>
  <si>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</si>
  <si>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</si>
  <si>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</si>
  <si>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</si>
  <si>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</si>
  <si>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</si>
  <si>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</si>
  <si>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</si>
  <si>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</si>
  <si>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</si>
  <si>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</si>
  <si>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</si>
  <si>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</si>
  <si>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</si>
  <si>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</si>
  <si>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</si>
  <si>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</si>
  <si>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</si>
  <si>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</si>
  <si>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</si>
  <si>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</si>
  <si>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</si>
  <si>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</si>
  <si>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</si>
  <si>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</si>
  <si>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</si>
  <si>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</si>
  <si>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</si>
  <si>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</si>
  <si>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</si>
  <si>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</si>
  <si>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</si>
  <si>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</si>
  <si>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</si>
  <si>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</si>
  <si>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</si>
  <si>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</si>
  <si>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</si>
  <si>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</si>
  <si>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</si>
  <si>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</si>
  <si>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</si>
  <si>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</si>
  <si>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</si>
  <si>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</si>
  <si>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</si>
  <si>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</si>
  <si>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</si>
  <si>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</si>
  <si>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</si>
  <si>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</si>
  <si>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</si>
  <si>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</si>
  <si>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</si>
  <si>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</si>
  <si>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</si>
  <si>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</si>
  <si>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</si>
  <si>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</si>
  <si>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</si>
  <si>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</si>
  <si>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</si>
  <si>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</si>
  <si>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</si>
  <si>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</si>
  <si>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</si>
  <si>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</si>
  <si>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</si>
  <si>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</si>
  <si>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</si>
  <si>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</si>
  <si>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</si>
  <si>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</si>
  <si>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</si>
  <si>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</si>
  <si>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</si>
  <si>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</si>
  <si>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</si>
  <si>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</si>
  <si>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</si>
  <si>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</si>
  <si>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</si>
  <si>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</si>
  <si>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</si>
  <si>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</si>
  <si>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</si>
  <si>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</si>
  <si>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</si>
  <si>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</si>
  <si>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</si>
  <si>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</si>
  <si>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</si>
  <si>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</si>
  <si>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</si>
  <si>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</si>
  <si>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</si>
  <si>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</si>
  <si>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</si>
  <si>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</si>
  <si>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</si>
  <si>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</si>
  <si>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</si>
  <si>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</si>
  <si>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</si>
  <si>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</si>
  <si>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</si>
  <si>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</si>
  <si>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</si>
  <si>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</si>
  <si>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</si>
  <si>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</si>
  <si>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</si>
  <si>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</si>
  <si>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</si>
  <si>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</si>
  <si>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</si>
  <si>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</si>
  <si>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</si>
  <si>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</si>
  <si>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</si>
  <si>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</si>
  <si>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</si>
  <si>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</si>
  <si>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</si>
  <si>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</si>
  <si>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</si>
  <si>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</si>
  <si>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</si>
  <si>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</si>
  <si>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</si>
  <si>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</si>
  <si>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</si>
  <si>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</si>
  <si>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</si>
  <si>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</si>
  <si>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</si>
  <si>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</si>
  <si>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</si>
  <si>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</si>
  <si>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</si>
  <si>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</si>
  <si>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</si>
  <si>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</si>
  <si>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</si>
  <si>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</si>
  <si>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</si>
  <si>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</si>
  <si>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</si>
  <si>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</si>
  <si>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</si>
  <si>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</si>
  <si>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</si>
  <si>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</si>
  <si>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</si>
  <si>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</si>
  <si>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</si>
  <si>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</si>
  <si>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</si>
  <si>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</si>
  <si>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</si>
  <si>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</si>
  <si>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</si>
  <si>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</si>
  <si>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</si>
  <si>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</si>
  <si>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</si>
  <si>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</si>
  <si>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</si>
  <si>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</si>
  <si>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</si>
  <si>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</si>
  <si>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</si>
  <si>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</si>
  <si>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</si>
  <si>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</si>
  <si>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</si>
  <si>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</si>
  <si>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</si>
  <si>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</si>
  <si>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</si>
  <si>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</si>
  <si>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</si>
  <si>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</si>
  <si>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</si>
  <si>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</si>
  <si>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</si>
  <si>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</si>
  <si>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</si>
  <si>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</si>
  <si>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</si>
  <si>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</si>
  <si>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</si>
  <si>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</si>
  <si>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</si>
  <si>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</si>
  <si>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</si>
  <si>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</si>
  <si>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</si>
  <si>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</si>
  <si>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</si>
  <si>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</si>
  <si>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</si>
  <si>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</si>
  <si>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</si>
  <si>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</si>
  <si>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</si>
  <si>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</si>
  <si>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</si>
  <si>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</si>
  <si>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</si>
  <si>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</si>
  <si>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</si>
  <si>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</si>
  <si>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</si>
  <si>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</si>
  <si>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</si>
  <si>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</si>
  <si>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</si>
  <si>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</si>
  <si>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</si>
  <si>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</si>
  <si>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</si>
  <si>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</si>
  <si>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</si>
  <si>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</si>
  <si>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</si>
  <si>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</si>
  <si>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</si>
  <si>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</si>
  <si>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</si>
  <si>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</si>
  <si>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</si>
  <si>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</si>
  <si>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</si>
  <si>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</si>
  <si>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</si>
  <si>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</si>
  <si>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</si>
  <si>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</si>
  <si>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</si>
  <si>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</si>
  <si>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</si>
  <si>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</si>
  <si>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</si>
  <si>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</si>
  <si>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</si>
  <si>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</si>
  <si>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</si>
  <si>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</si>
  <si>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</si>
  <si>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</si>
  <si>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</si>
  <si>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</si>
  <si>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</si>
  <si>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</si>
  <si>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</si>
  <si>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</si>
  <si>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</si>
  <si>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</si>
  <si>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</si>
  <si>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</si>
  <si>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</si>
  <si>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</si>
  <si>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</si>
  <si>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</si>
  <si>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</si>
  <si>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</si>
  <si>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</si>
  <si>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</si>
  <si>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</si>
  <si>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</si>
  <si>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</si>
  <si>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</si>
  <si>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</si>
  <si>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</si>
  <si>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</si>
  <si>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</si>
  <si>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</si>
  <si>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</si>
  <si>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</si>
  <si>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</si>
  <si>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</si>
  <si>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</si>
  <si>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</si>
  <si>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</si>
  <si>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</si>
  <si>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</si>
  <si>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</si>
  <si>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</si>
  <si>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</si>
  <si>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</si>
  <si>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</si>
  <si>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</si>
  <si>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</si>
  <si>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</si>
  <si>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</si>
  <si>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</si>
  <si>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</si>
  <si>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</si>
  <si>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</si>
  <si>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</si>
  <si>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</si>
  <si>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</si>
  <si>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</si>
  <si>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</si>
  <si>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</si>
  <si>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</si>
  <si>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</si>
  <si>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</si>
  <si>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</si>
  <si>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</si>
  <si>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</si>
  <si>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</si>
  <si>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</si>
  <si>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</si>
  <si>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</si>
  <si>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</si>
  <si>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</si>
  <si>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</si>
  <si>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</si>
  <si>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</si>
  <si>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</si>
  <si>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</si>
  <si>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</si>
  <si>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</si>
  <si>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</si>
  <si>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</si>
  <si>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</si>
  <si>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</si>
  <si>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</si>
  <si>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</si>
  <si>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</si>
  <si>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</si>
  <si>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</si>
  <si>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</si>
  <si>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</si>
  <si>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</si>
  <si>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</si>
  <si>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</si>
  <si>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</si>
  <si>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</si>
  <si>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</si>
  <si>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</si>
  <si>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</si>
  <si>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</si>
  <si>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Міський голова                                                                                                                                       А.В.Лінник</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</si>
  <si>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</si>
  <si>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</si>
  <si>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</si>
  <si>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</si>
  <si>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</si>
  <si>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</si>
  <si>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</si>
  <si>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</si>
  <si>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</si>
  <si>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</si>
  <si>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</si>
  <si>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</si>
  <si>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</si>
  <si>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від  25 березня 2020 р № 5-70/2020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</si>
</sst>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9">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43" fontId="3" fillId="3" borderId="0" xfId="2" applyFont="1" applyFill="1" applyAlignment="1" applyProtection="1">
      <alignment horizontal="center"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2"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right" vertical="center" wrapText="1"/>
      <protection locked="0"/>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6" fillId="0" borderId="7" xfId="0" applyNumberFormat="1" applyFont="1" applyFill="1" applyBorder="1" applyAlignment="1" applyProtection="1">
      <alignment horizontal="center" vertical="center"/>
    </xf>
    <xf numFmtId="0" fontId="13" fillId="0" borderId="1" xfId="0"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0"/>
  <sheetViews>
    <sheetView tabSelected="1" view="pageBreakPreview" zoomScale="58" zoomScaleNormal="60" zoomScaleSheetLayoutView="58" workbookViewId="0">
      <pane xSplit="5" ySplit="10" topLeftCell="J179" activePane="bottomRight" state="frozen"/>
      <selection pane="topRight" activeCell="F1" sqref="F1"/>
      <selection pane="bottomLeft" activeCell="A11" sqref="A11"/>
      <selection pane="bottomRight" activeCell="L187" sqref="L187"/>
    </sheetView>
  </sheetViews>
  <sheetFormatPr defaultColWidth="9.109375" defaultRowHeight="24.75" customHeight="1"/>
  <cols>
    <col min="1" max="1" width="16.5546875" style="33" customWidth="1"/>
    <col min="2" max="2" width="16.88671875" style="33" customWidth="1"/>
    <col min="3" max="3" width="10.33203125" style="33" customWidth="1"/>
    <col min="4" max="4" width="48.33203125" style="1" customWidth="1"/>
    <col min="5" max="5" width="6.88671875" style="21" hidden="1" customWidth="1"/>
    <col min="6" max="6" width="22.6640625" style="57" customWidth="1"/>
    <col min="7" max="7" width="20.88671875" style="57" customWidth="1"/>
    <col min="8" max="8" width="21.33203125" style="57" customWidth="1"/>
    <col min="9" max="9" width="20.44140625" style="57" customWidth="1"/>
    <col min="10" max="10" width="22.44140625" style="57" customWidth="1"/>
    <col min="11" max="11" width="21.5546875" style="57" customWidth="1"/>
    <col min="12" max="12" width="19.5546875" style="57" customWidth="1"/>
    <col min="13" max="13" width="20.5546875" style="57" customWidth="1"/>
    <col min="14" max="15" width="19" style="57" customWidth="1"/>
    <col min="16" max="16" width="19.5546875" style="57" customWidth="1"/>
    <col min="17" max="17" width="26.33203125" style="57" customWidth="1"/>
    <col min="18" max="18" width="28.44140625" style="33" customWidth="1"/>
    <col min="19" max="19" width="17.44140625" style="33" customWidth="1"/>
    <col min="20" max="20" width="23.6640625" style="34" customWidth="1"/>
    <col min="21" max="16384" width="9.109375" style="33"/>
  </cols>
  <sheetData>
    <row r="1" spans="1:20" s="8" customFormat="1" ht="30" customHeight="1">
      <c r="D1" s="2"/>
      <c r="F1" s="43"/>
      <c r="G1" s="44"/>
      <c r="H1" s="43"/>
      <c r="I1" s="43"/>
      <c r="J1" s="43"/>
      <c r="K1" s="43"/>
      <c r="L1" s="43"/>
      <c r="M1" s="43"/>
      <c r="N1" s="133" t="s">
        <v>496</v>
      </c>
      <c r="O1" s="133"/>
      <c r="P1" s="133"/>
      <c r="Q1" s="133"/>
      <c r="T1" s="22"/>
    </row>
    <row r="2" spans="1:20" s="8" customFormat="1" ht="24.6" customHeight="1">
      <c r="A2" s="133" t="s">
        <v>323</v>
      </c>
      <c r="B2" s="133"/>
      <c r="C2" s="133"/>
      <c r="D2" s="133"/>
      <c r="E2" s="133"/>
      <c r="F2" s="133"/>
      <c r="G2" s="133"/>
      <c r="H2" s="133"/>
      <c r="I2" s="133"/>
      <c r="J2" s="133"/>
      <c r="K2" s="133"/>
      <c r="L2" s="133"/>
      <c r="M2" s="133"/>
      <c r="N2" s="134" t="s">
        <v>356</v>
      </c>
      <c r="O2" s="134"/>
      <c r="P2" s="134"/>
      <c r="Q2" s="134"/>
      <c r="T2" s="22"/>
    </row>
    <row r="3" spans="1:20" s="8" customFormat="1" ht="27" customHeight="1">
      <c r="A3" s="133" t="s">
        <v>492</v>
      </c>
      <c r="B3" s="133"/>
      <c r="C3" s="133"/>
      <c r="D3" s="133"/>
      <c r="E3" s="133"/>
      <c r="F3" s="133"/>
      <c r="G3" s="133"/>
      <c r="H3" s="133"/>
      <c r="I3" s="133"/>
      <c r="J3" s="133"/>
      <c r="K3" s="133"/>
      <c r="L3" s="133"/>
      <c r="M3" s="133"/>
      <c r="N3" s="135" t="s">
        <v>517</v>
      </c>
      <c r="O3" s="135"/>
      <c r="P3" s="135"/>
      <c r="Q3" s="135"/>
      <c r="T3" s="22"/>
    </row>
    <row r="4" spans="1:20" s="8" customFormat="1" ht="17.399999999999999" customHeight="1">
      <c r="A4" s="136">
        <v>25538000000</v>
      </c>
      <c r="B4" s="136"/>
      <c r="C4" s="136"/>
      <c r="D4" s="2"/>
      <c r="E4" s="26"/>
      <c r="F4" s="45"/>
      <c r="G4" s="45"/>
      <c r="H4" s="45"/>
      <c r="I4" s="45"/>
      <c r="J4" s="45"/>
      <c r="K4" s="45"/>
      <c r="L4" s="45"/>
      <c r="M4" s="45"/>
      <c r="N4" s="132"/>
      <c r="O4" s="132"/>
      <c r="P4" s="132"/>
      <c r="Q4" s="132"/>
      <c r="T4" s="22"/>
    </row>
    <row r="5" spans="1:20" s="8" customFormat="1" ht="17.399999999999999" customHeight="1">
      <c r="A5" s="138" t="s">
        <v>491</v>
      </c>
      <c r="B5" s="138"/>
      <c r="C5" s="138"/>
      <c r="D5" s="2"/>
      <c r="E5" s="14"/>
      <c r="F5" s="45"/>
      <c r="G5" s="45"/>
      <c r="H5" s="45"/>
      <c r="I5" s="45"/>
      <c r="J5" s="45"/>
      <c r="K5" s="45"/>
      <c r="L5" s="45"/>
      <c r="M5" s="45"/>
      <c r="N5" s="45"/>
      <c r="O5" s="45"/>
      <c r="P5" s="46"/>
      <c r="Q5" s="46"/>
      <c r="T5" s="22"/>
    </row>
    <row r="6" spans="1:20" s="58" customFormat="1" ht="21.6" customHeight="1">
      <c r="A6" s="139" t="s">
        <v>357</v>
      </c>
      <c r="B6" s="141" t="s">
        <v>497</v>
      </c>
      <c r="C6" s="139" t="s">
        <v>293</v>
      </c>
      <c r="D6" s="145" t="s">
        <v>483</v>
      </c>
      <c r="E6" s="140" t="s">
        <v>59</v>
      </c>
      <c r="F6" s="137" t="s">
        <v>294</v>
      </c>
      <c r="G6" s="137"/>
      <c r="H6" s="137"/>
      <c r="I6" s="137"/>
      <c r="J6" s="64"/>
      <c r="K6" s="137" t="s">
        <v>295</v>
      </c>
      <c r="L6" s="148"/>
      <c r="M6" s="148"/>
      <c r="N6" s="148"/>
      <c r="O6" s="148"/>
      <c r="P6" s="148"/>
      <c r="Q6" s="137" t="s">
        <v>0</v>
      </c>
      <c r="T6" s="59"/>
    </row>
    <row r="7" spans="1:20" s="58" customFormat="1" ht="25.2" customHeight="1">
      <c r="A7" s="139"/>
      <c r="B7" s="142"/>
      <c r="C7" s="139"/>
      <c r="D7" s="145"/>
      <c r="E7" s="140"/>
      <c r="F7" s="137" t="s">
        <v>206</v>
      </c>
      <c r="G7" s="137" t="s">
        <v>47</v>
      </c>
      <c r="H7" s="146" t="s">
        <v>26</v>
      </c>
      <c r="I7" s="146"/>
      <c r="J7" s="137" t="s">
        <v>48</v>
      </c>
      <c r="K7" s="137" t="s">
        <v>206</v>
      </c>
      <c r="L7" s="137" t="s">
        <v>296</v>
      </c>
      <c r="M7" s="137" t="s">
        <v>49</v>
      </c>
      <c r="N7" s="146" t="s">
        <v>26</v>
      </c>
      <c r="O7" s="146"/>
      <c r="P7" s="137" t="s">
        <v>50</v>
      </c>
      <c r="Q7" s="137"/>
      <c r="T7" s="59"/>
    </row>
    <row r="8" spans="1:20" s="58" customFormat="1" ht="16.5" customHeight="1">
      <c r="A8" s="139"/>
      <c r="B8" s="142"/>
      <c r="C8" s="139"/>
      <c r="D8" s="145"/>
      <c r="E8" s="140"/>
      <c r="F8" s="137"/>
      <c r="G8" s="137"/>
      <c r="H8" s="137" t="s">
        <v>54</v>
      </c>
      <c r="I8" s="137" t="s">
        <v>21</v>
      </c>
      <c r="J8" s="137"/>
      <c r="K8" s="137"/>
      <c r="L8" s="147"/>
      <c r="M8" s="147"/>
      <c r="N8" s="137" t="s">
        <v>297</v>
      </c>
      <c r="O8" s="137" t="s">
        <v>21</v>
      </c>
      <c r="P8" s="147"/>
      <c r="Q8" s="137"/>
      <c r="T8" s="59"/>
    </row>
    <row r="9" spans="1:20" s="58" customFormat="1" ht="76.2" customHeight="1">
      <c r="A9" s="139"/>
      <c r="B9" s="143"/>
      <c r="C9" s="139"/>
      <c r="D9" s="145"/>
      <c r="E9" s="140"/>
      <c r="F9" s="137"/>
      <c r="G9" s="137"/>
      <c r="H9" s="137"/>
      <c r="I9" s="137"/>
      <c r="J9" s="137"/>
      <c r="K9" s="137"/>
      <c r="L9" s="147"/>
      <c r="M9" s="147"/>
      <c r="N9" s="137"/>
      <c r="O9" s="137"/>
      <c r="P9" s="147"/>
      <c r="Q9" s="137"/>
      <c r="T9" s="59"/>
    </row>
    <row r="10" spans="1:20" s="19" customFormat="1" ht="16.95" customHeight="1">
      <c r="A10" s="35">
        <v>1</v>
      </c>
      <c r="B10" s="35">
        <v>2</v>
      </c>
      <c r="C10" s="35">
        <v>3</v>
      </c>
      <c r="D10" s="35">
        <v>4</v>
      </c>
      <c r="E10" s="35">
        <v>4</v>
      </c>
      <c r="F10" s="35">
        <v>5</v>
      </c>
      <c r="G10" s="35">
        <v>6</v>
      </c>
      <c r="H10" s="35">
        <v>7</v>
      </c>
      <c r="I10" s="35">
        <v>8</v>
      </c>
      <c r="J10" s="35">
        <v>9</v>
      </c>
      <c r="K10" s="35">
        <v>10</v>
      </c>
      <c r="L10" s="35">
        <v>11</v>
      </c>
      <c r="M10" s="35">
        <v>12</v>
      </c>
      <c r="N10" s="35">
        <v>13</v>
      </c>
      <c r="O10" s="35">
        <v>14</v>
      </c>
      <c r="P10" s="35">
        <v>15</v>
      </c>
      <c r="Q10" s="35">
        <v>16</v>
      </c>
      <c r="T10" s="20"/>
    </row>
    <row r="11" spans="1:20" s="23" customFormat="1" ht="45.6" customHeight="1">
      <c r="A11" s="74" t="s">
        <v>118</v>
      </c>
      <c r="B11" s="74" t="s">
        <v>118</v>
      </c>
      <c r="C11" s="75"/>
      <c r="D11" s="76" t="s">
        <v>114</v>
      </c>
      <c r="E11" s="75" t="s">
        <v>1</v>
      </c>
      <c r="F11" s="77">
        <f>F12</f>
        <v>63817819.75</v>
      </c>
      <c r="G11" s="77">
        <f>G12</f>
        <v>62586415.75</v>
      </c>
      <c r="H11" s="78">
        <f t="shared" ref="H11:P11" si="0">H12</f>
        <v>20463300</v>
      </c>
      <c r="I11" s="78">
        <f t="shared" si="0"/>
        <v>692900</v>
      </c>
      <c r="J11" s="78">
        <f t="shared" si="0"/>
        <v>1231404</v>
      </c>
      <c r="K11" s="77">
        <f t="shared" si="0"/>
        <v>5651354</v>
      </c>
      <c r="L11" s="77">
        <f t="shared" si="0"/>
        <v>5565954</v>
      </c>
      <c r="M11" s="78">
        <f t="shared" si="0"/>
        <v>85400</v>
      </c>
      <c r="N11" s="78">
        <f t="shared" si="0"/>
        <v>0</v>
      </c>
      <c r="O11" s="78">
        <f t="shared" si="0"/>
        <v>0</v>
      </c>
      <c r="P11" s="78">
        <f t="shared" si="0"/>
        <v>5565954</v>
      </c>
      <c r="Q11" s="77">
        <f t="shared" ref="Q11:Q45" si="1">F11+K11</f>
        <v>69469173.75</v>
      </c>
      <c r="T11" s="24"/>
    </row>
    <row r="12" spans="1:20" s="23" customFormat="1" ht="43.2" customHeight="1">
      <c r="A12" s="79" t="s">
        <v>119</v>
      </c>
      <c r="B12" s="79" t="s">
        <v>119</v>
      </c>
      <c r="C12" s="80"/>
      <c r="D12" s="81" t="s">
        <v>114</v>
      </c>
      <c r="E12" s="80"/>
      <c r="F12" s="82">
        <f>SUM(F13:F45)+F46</f>
        <v>63817819.75</v>
      </c>
      <c r="G12" s="82">
        <f>SUM(G13:G45)+G46</f>
        <v>62586415.75</v>
      </c>
      <c r="H12" s="82">
        <f t="shared" ref="H12:P12" si="2">SUM(H13:H45)</f>
        <v>20463300</v>
      </c>
      <c r="I12" s="82">
        <f t="shared" si="2"/>
        <v>692900</v>
      </c>
      <c r="J12" s="82">
        <f t="shared" si="2"/>
        <v>1231404</v>
      </c>
      <c r="K12" s="82">
        <f t="shared" si="2"/>
        <v>5651354</v>
      </c>
      <c r="L12" s="82">
        <f t="shared" si="2"/>
        <v>5565954</v>
      </c>
      <c r="M12" s="82">
        <f t="shared" si="2"/>
        <v>85400</v>
      </c>
      <c r="N12" s="82">
        <f t="shared" si="2"/>
        <v>0</v>
      </c>
      <c r="O12" s="82">
        <f t="shared" si="2"/>
        <v>0</v>
      </c>
      <c r="P12" s="82">
        <f t="shared" si="2"/>
        <v>5565954</v>
      </c>
      <c r="Q12" s="82">
        <f t="shared" si="1"/>
        <v>69469173.75</v>
      </c>
      <c r="R12" s="60"/>
      <c r="T12" s="24"/>
    </row>
    <row r="13" spans="1:20" s="25" customFormat="1" ht="56.4" customHeight="1">
      <c r="A13" s="66" t="s">
        <v>120</v>
      </c>
      <c r="B13" s="66" t="s">
        <v>358</v>
      </c>
      <c r="C13" s="66" t="s">
        <v>61</v>
      </c>
      <c r="D13" s="117" t="s">
        <v>308</v>
      </c>
      <c r="E13" s="3" t="s">
        <v>2</v>
      </c>
      <c r="F13" s="4">
        <f t="shared" ref="F13:F71" si="3">G13+J13</f>
        <v>20154400</v>
      </c>
      <c r="G13" s="4">
        <f>19691100+550000+8300-95000</f>
        <v>20154400</v>
      </c>
      <c r="H13" s="12">
        <v>18296000</v>
      </c>
      <c r="I13" s="12">
        <v>578600</v>
      </c>
      <c r="J13" s="12"/>
      <c r="K13" s="4">
        <f t="shared" ref="K13:K45" si="4">M13+P13</f>
        <v>476400</v>
      </c>
      <c r="L13" s="4">
        <f>131000+165000+95000</f>
        <v>391000</v>
      </c>
      <c r="M13" s="4">
        <v>85400</v>
      </c>
      <c r="N13" s="4"/>
      <c r="O13" s="12"/>
      <c r="P13" s="12">
        <f>131000+165000+95000</f>
        <v>391000</v>
      </c>
      <c r="Q13" s="4">
        <f t="shared" si="1"/>
        <v>20630800</v>
      </c>
      <c r="T13" s="22"/>
    </row>
    <row r="14" spans="1:20" s="25" customFormat="1" ht="44.4" customHeight="1">
      <c r="A14" s="66" t="s">
        <v>138</v>
      </c>
      <c r="B14" s="66" t="s">
        <v>280</v>
      </c>
      <c r="C14" s="66" t="s">
        <v>72</v>
      </c>
      <c r="D14" s="117" t="s">
        <v>139</v>
      </c>
      <c r="E14" s="3"/>
      <c r="F14" s="4">
        <f t="shared" si="3"/>
        <v>249000</v>
      </c>
      <c r="G14" s="4">
        <f>90000+66000+21000+70000+2000</f>
        <v>249000</v>
      </c>
      <c r="H14" s="12"/>
      <c r="I14" s="12"/>
      <c r="J14" s="12"/>
      <c r="K14" s="4">
        <f t="shared" si="4"/>
        <v>0</v>
      </c>
      <c r="L14" s="4"/>
      <c r="M14" s="4"/>
      <c r="N14" s="4"/>
      <c r="O14" s="12"/>
      <c r="P14" s="12"/>
      <c r="Q14" s="4">
        <f t="shared" si="1"/>
        <v>249000</v>
      </c>
      <c r="T14" s="22"/>
    </row>
    <row r="15" spans="1:20" s="23" customFormat="1" ht="44.4" customHeight="1">
      <c r="A15" s="66" t="s">
        <v>121</v>
      </c>
      <c r="B15" s="66" t="s">
        <v>359</v>
      </c>
      <c r="C15" s="67" t="s">
        <v>62</v>
      </c>
      <c r="D15" s="10" t="s">
        <v>88</v>
      </c>
      <c r="E15" s="10" t="s">
        <v>60</v>
      </c>
      <c r="F15" s="4">
        <f t="shared" si="3"/>
        <v>21622850</v>
      </c>
      <c r="G15" s="4">
        <f>19392700+195000+41300+2153850-280000+90000+30000</f>
        <v>21622850</v>
      </c>
      <c r="H15" s="12"/>
      <c r="I15" s="12"/>
      <c r="J15" s="12"/>
      <c r="K15" s="4">
        <f t="shared" si="4"/>
        <v>1935550</v>
      </c>
      <c r="L15" s="4">
        <f>728000+269850+8700+160000+769000</f>
        <v>1935550</v>
      </c>
      <c r="M15" s="4"/>
      <c r="N15" s="4"/>
      <c r="O15" s="12"/>
      <c r="P15" s="47">
        <f>728000+269850+8700+160000+769000</f>
        <v>1935550</v>
      </c>
      <c r="Q15" s="4">
        <f t="shared" si="1"/>
        <v>23558400</v>
      </c>
      <c r="T15" s="24"/>
    </row>
    <row r="16" spans="1:20" s="23" customFormat="1" ht="55.5" customHeight="1">
      <c r="A16" s="66" t="s">
        <v>126</v>
      </c>
      <c r="B16" s="66" t="s">
        <v>360</v>
      </c>
      <c r="C16" s="66" t="s">
        <v>63</v>
      </c>
      <c r="D16" s="118" t="s">
        <v>89</v>
      </c>
      <c r="E16" s="7" t="s">
        <v>55</v>
      </c>
      <c r="F16" s="4">
        <f>G16+J16</f>
        <v>7902100</v>
      </c>
      <c r="G16" s="4">
        <f>7637200+50000+100000+117400-52500+50000</f>
        <v>7902100</v>
      </c>
      <c r="H16" s="12"/>
      <c r="I16" s="12"/>
      <c r="J16" s="12"/>
      <c r="K16" s="4">
        <f t="shared" si="4"/>
        <v>1399802</v>
      </c>
      <c r="L16" s="4">
        <f>1747202-150000-117400-50000-30000</f>
        <v>1399802</v>
      </c>
      <c r="M16" s="4"/>
      <c r="N16" s="4"/>
      <c r="O16" s="12"/>
      <c r="P16" s="12">
        <f>1747202-150000-117400-50000-30000</f>
        <v>1399802</v>
      </c>
      <c r="Q16" s="4">
        <f t="shared" si="1"/>
        <v>9301902</v>
      </c>
      <c r="T16" s="24"/>
    </row>
    <row r="17" spans="1:20" s="23" customFormat="1" ht="44.4" customHeight="1">
      <c r="A17" s="66" t="s">
        <v>125</v>
      </c>
      <c r="B17" s="66" t="s">
        <v>361</v>
      </c>
      <c r="C17" s="66" t="s">
        <v>64</v>
      </c>
      <c r="D17" s="6" t="s">
        <v>109</v>
      </c>
      <c r="E17" s="7"/>
      <c r="F17" s="41">
        <f>G17+J17</f>
        <v>1930926.48</v>
      </c>
      <c r="G17" s="41">
        <f>1754500+0.48+45652+50000+20774+60000</f>
        <v>1930926.48</v>
      </c>
      <c r="H17" s="12"/>
      <c r="I17" s="12"/>
      <c r="J17" s="12"/>
      <c r="K17" s="4">
        <f t="shared" si="4"/>
        <v>299826</v>
      </c>
      <c r="L17" s="4">
        <f>1220600-900000-20774</f>
        <v>299826</v>
      </c>
      <c r="M17" s="4"/>
      <c r="N17" s="4"/>
      <c r="O17" s="12"/>
      <c r="P17" s="47">
        <f>1220600-900000-20774</f>
        <v>299826</v>
      </c>
      <c r="Q17" s="41">
        <f t="shared" si="1"/>
        <v>2230752.48</v>
      </c>
      <c r="T17" s="24"/>
    </row>
    <row r="18" spans="1:20" s="23" customFormat="1" ht="56.25" customHeight="1">
      <c r="A18" s="66" t="s">
        <v>219</v>
      </c>
      <c r="B18" s="66" t="s">
        <v>362</v>
      </c>
      <c r="C18" s="66" t="s">
        <v>220</v>
      </c>
      <c r="D18" s="6" t="s">
        <v>504</v>
      </c>
      <c r="E18" s="7"/>
      <c r="F18" s="4">
        <f>G18+J18</f>
        <v>2720000</v>
      </c>
      <c r="G18" s="4">
        <f>1900000+820000</f>
        <v>2720000</v>
      </c>
      <c r="H18" s="12"/>
      <c r="I18" s="12"/>
      <c r="J18" s="12"/>
      <c r="K18" s="4">
        <f t="shared" si="4"/>
        <v>0</v>
      </c>
      <c r="L18" s="4"/>
      <c r="M18" s="4"/>
      <c r="N18" s="4"/>
      <c r="O18" s="12"/>
      <c r="P18" s="12"/>
      <c r="Q18" s="4">
        <f t="shared" si="1"/>
        <v>2720000</v>
      </c>
      <c r="T18" s="24"/>
    </row>
    <row r="19" spans="1:20" s="23" customFormat="1" ht="42" customHeight="1">
      <c r="A19" s="66" t="s">
        <v>122</v>
      </c>
      <c r="B19" s="66" t="s">
        <v>363</v>
      </c>
      <c r="C19" s="66" t="s">
        <v>65</v>
      </c>
      <c r="D19" s="6" t="s">
        <v>111</v>
      </c>
      <c r="E19" s="7"/>
      <c r="F19" s="4">
        <f t="shared" si="3"/>
        <v>50000</v>
      </c>
      <c r="G19" s="4">
        <v>50000</v>
      </c>
      <c r="H19" s="12"/>
      <c r="I19" s="12"/>
      <c r="J19" s="12"/>
      <c r="K19" s="4">
        <f t="shared" si="4"/>
        <v>0</v>
      </c>
      <c r="L19" s="4"/>
      <c r="M19" s="4"/>
      <c r="N19" s="4"/>
      <c r="O19" s="12"/>
      <c r="P19" s="47"/>
      <c r="Q19" s="4">
        <f t="shared" si="1"/>
        <v>50000</v>
      </c>
      <c r="T19" s="24"/>
    </row>
    <row r="20" spans="1:20" s="23" customFormat="1" ht="42" customHeight="1">
      <c r="A20" s="66" t="s">
        <v>123</v>
      </c>
      <c r="B20" s="66" t="s">
        <v>364</v>
      </c>
      <c r="C20" s="66" t="s">
        <v>65</v>
      </c>
      <c r="D20" s="6" t="s">
        <v>110</v>
      </c>
      <c r="E20" s="7"/>
      <c r="F20" s="4">
        <f t="shared" si="3"/>
        <v>290000</v>
      </c>
      <c r="G20" s="4">
        <f>140000+150000</f>
        <v>290000</v>
      </c>
      <c r="H20" s="12"/>
      <c r="I20" s="12"/>
      <c r="J20" s="12"/>
      <c r="K20" s="4">
        <f t="shared" si="4"/>
        <v>0</v>
      </c>
      <c r="L20" s="4"/>
      <c r="M20" s="4"/>
      <c r="N20" s="4"/>
      <c r="O20" s="12"/>
      <c r="P20" s="47"/>
      <c r="Q20" s="4">
        <f t="shared" si="1"/>
        <v>290000</v>
      </c>
      <c r="T20" s="24"/>
    </row>
    <row r="21" spans="1:20" s="23" customFormat="1" ht="44.25" customHeight="1">
      <c r="A21" s="66" t="s">
        <v>124</v>
      </c>
      <c r="B21" s="66" t="s">
        <v>365</v>
      </c>
      <c r="C21" s="66" t="s">
        <v>65</v>
      </c>
      <c r="D21" s="6" t="s">
        <v>112</v>
      </c>
      <c r="E21" s="7"/>
      <c r="F21" s="4">
        <f t="shared" si="3"/>
        <v>25000</v>
      </c>
      <c r="G21" s="4">
        <v>25000</v>
      </c>
      <c r="H21" s="12"/>
      <c r="I21" s="12"/>
      <c r="J21" s="12"/>
      <c r="K21" s="4">
        <f t="shared" si="4"/>
        <v>0</v>
      </c>
      <c r="L21" s="4"/>
      <c r="M21" s="4"/>
      <c r="N21" s="4"/>
      <c r="O21" s="12"/>
      <c r="P21" s="47"/>
      <c r="Q21" s="4">
        <f t="shared" si="1"/>
        <v>25000</v>
      </c>
      <c r="T21" s="24"/>
    </row>
    <row r="22" spans="1:20" s="23" customFormat="1" ht="55.5" customHeight="1">
      <c r="A22" s="66" t="s">
        <v>127</v>
      </c>
      <c r="B22" s="66" t="s">
        <v>366</v>
      </c>
      <c r="C22" s="66" t="s">
        <v>65</v>
      </c>
      <c r="D22" s="6" t="s">
        <v>221</v>
      </c>
      <c r="E22" s="7"/>
      <c r="F22" s="41">
        <f>G22+J22</f>
        <v>700028.27</v>
      </c>
      <c r="G22" s="41">
        <f>165600+534400+28.27</f>
        <v>700028.27</v>
      </c>
      <c r="H22" s="12"/>
      <c r="I22" s="12"/>
      <c r="J22" s="12"/>
      <c r="K22" s="4">
        <f t="shared" si="4"/>
        <v>0</v>
      </c>
      <c r="L22" s="4"/>
      <c r="M22" s="4"/>
      <c r="N22" s="4"/>
      <c r="O22" s="12"/>
      <c r="P22" s="12"/>
      <c r="Q22" s="41">
        <f t="shared" si="1"/>
        <v>700028.27</v>
      </c>
      <c r="T22" s="24"/>
    </row>
    <row r="23" spans="1:20" s="23" customFormat="1" ht="55.5" hidden="1" customHeight="1">
      <c r="A23" s="66" t="s">
        <v>239</v>
      </c>
      <c r="B23" s="66" t="s">
        <v>367</v>
      </c>
      <c r="C23" s="66" t="s">
        <v>65</v>
      </c>
      <c r="D23" s="6" t="s">
        <v>250</v>
      </c>
      <c r="E23" s="7"/>
      <c r="F23" s="4">
        <f>G23+J23</f>
        <v>0</v>
      </c>
      <c r="G23" s="4"/>
      <c r="H23" s="12"/>
      <c r="I23" s="12"/>
      <c r="J23" s="12"/>
      <c r="K23" s="4">
        <f t="shared" si="4"/>
        <v>0</v>
      </c>
      <c r="L23" s="4"/>
      <c r="M23" s="4"/>
      <c r="N23" s="4"/>
      <c r="O23" s="12"/>
      <c r="P23" s="12"/>
      <c r="Q23" s="4">
        <f t="shared" si="1"/>
        <v>0</v>
      </c>
      <c r="T23" s="24"/>
    </row>
    <row r="24" spans="1:20" s="23" customFormat="1" ht="55.5" hidden="1" customHeight="1">
      <c r="A24" s="66" t="s">
        <v>222</v>
      </c>
      <c r="B24" s="66" t="s">
        <v>368</v>
      </c>
      <c r="C24" s="66" t="s">
        <v>65</v>
      </c>
      <c r="D24" s="118" t="s">
        <v>298</v>
      </c>
      <c r="E24" s="7"/>
      <c r="F24" s="4">
        <f t="shared" si="3"/>
        <v>0</v>
      </c>
      <c r="G24" s="4"/>
      <c r="H24" s="12"/>
      <c r="I24" s="12"/>
      <c r="J24" s="12"/>
      <c r="K24" s="4">
        <f t="shared" si="4"/>
        <v>0</v>
      </c>
      <c r="L24" s="4"/>
      <c r="M24" s="4"/>
      <c r="N24" s="4"/>
      <c r="O24" s="12"/>
      <c r="P24" s="12"/>
      <c r="Q24" s="4">
        <f t="shared" si="1"/>
        <v>0</v>
      </c>
      <c r="T24" s="24"/>
    </row>
    <row r="25" spans="1:20" s="23" customFormat="1" ht="55.95" customHeight="1">
      <c r="A25" s="66" t="s">
        <v>223</v>
      </c>
      <c r="B25" s="66" t="s">
        <v>369</v>
      </c>
      <c r="C25" s="66" t="s">
        <v>65</v>
      </c>
      <c r="D25" s="118" t="s">
        <v>299</v>
      </c>
      <c r="E25" s="7"/>
      <c r="F25" s="4">
        <f t="shared" si="3"/>
        <v>174000</v>
      </c>
      <c r="G25" s="4">
        <f>44000+130000</f>
        <v>174000</v>
      </c>
      <c r="H25" s="12"/>
      <c r="I25" s="12"/>
      <c r="J25" s="12"/>
      <c r="K25" s="4">
        <f t="shared" si="4"/>
        <v>0</v>
      </c>
      <c r="L25" s="4"/>
      <c r="M25" s="4"/>
      <c r="N25" s="4"/>
      <c r="O25" s="12"/>
      <c r="P25" s="12"/>
      <c r="Q25" s="4">
        <f t="shared" si="1"/>
        <v>174000</v>
      </c>
      <c r="T25" s="24"/>
    </row>
    <row r="26" spans="1:20" s="8" customFormat="1" ht="55.5" customHeight="1">
      <c r="A26" s="66" t="s">
        <v>128</v>
      </c>
      <c r="B26" s="66" t="s">
        <v>370</v>
      </c>
      <c r="C26" s="66" t="s">
        <v>67</v>
      </c>
      <c r="D26" s="118" t="s">
        <v>90</v>
      </c>
      <c r="E26" s="7" t="s">
        <v>38</v>
      </c>
      <c r="F26" s="4">
        <f t="shared" si="3"/>
        <v>20000</v>
      </c>
      <c r="G26" s="4">
        <v>20000</v>
      </c>
      <c r="H26" s="12"/>
      <c r="I26" s="12"/>
      <c r="J26" s="12"/>
      <c r="K26" s="4">
        <f t="shared" si="4"/>
        <v>0</v>
      </c>
      <c r="L26" s="4"/>
      <c r="M26" s="4"/>
      <c r="N26" s="4"/>
      <c r="O26" s="12"/>
      <c r="P26" s="12"/>
      <c r="Q26" s="4">
        <f t="shared" si="1"/>
        <v>20000</v>
      </c>
      <c r="T26" s="22"/>
    </row>
    <row r="27" spans="1:20" s="8" customFormat="1" ht="55.5" customHeight="1">
      <c r="A27" s="68" t="s">
        <v>129</v>
      </c>
      <c r="B27" s="68" t="s">
        <v>493</v>
      </c>
      <c r="C27" s="68" t="s">
        <v>67</v>
      </c>
      <c r="D27" s="119" t="s">
        <v>309</v>
      </c>
      <c r="E27" s="7" t="s">
        <v>36</v>
      </c>
      <c r="F27" s="4">
        <f t="shared" si="3"/>
        <v>2324500</v>
      </c>
      <c r="G27" s="4">
        <v>2324500</v>
      </c>
      <c r="H27" s="12">
        <v>2167300</v>
      </c>
      <c r="I27" s="12">
        <v>114300</v>
      </c>
      <c r="J27" s="12"/>
      <c r="K27" s="4">
        <f t="shared" si="4"/>
        <v>0</v>
      </c>
      <c r="L27" s="4"/>
      <c r="M27" s="4"/>
      <c r="N27" s="4"/>
      <c r="O27" s="12"/>
      <c r="P27" s="12"/>
      <c r="Q27" s="4">
        <f t="shared" si="1"/>
        <v>2324500</v>
      </c>
      <c r="T27" s="22"/>
    </row>
    <row r="28" spans="1:20" s="8" customFormat="1" ht="55.5" customHeight="1">
      <c r="A28" s="66" t="s">
        <v>130</v>
      </c>
      <c r="B28" s="66" t="s">
        <v>371</v>
      </c>
      <c r="C28" s="66" t="s">
        <v>67</v>
      </c>
      <c r="D28" s="119" t="s">
        <v>91</v>
      </c>
      <c r="E28" s="7"/>
      <c r="F28" s="4">
        <f>G28+J28</f>
        <v>5000</v>
      </c>
      <c r="G28" s="4">
        <v>5000</v>
      </c>
      <c r="H28" s="12"/>
      <c r="I28" s="12"/>
      <c r="J28" s="12"/>
      <c r="K28" s="4">
        <f t="shared" si="4"/>
        <v>0</v>
      </c>
      <c r="L28" s="4"/>
      <c r="M28" s="4"/>
      <c r="N28" s="4"/>
      <c r="O28" s="12"/>
      <c r="P28" s="12"/>
      <c r="Q28" s="4">
        <f t="shared" si="1"/>
        <v>5000</v>
      </c>
      <c r="T28" s="22"/>
    </row>
    <row r="29" spans="1:20" s="8" customFormat="1" ht="54.75" customHeight="1">
      <c r="A29" s="66" t="s">
        <v>131</v>
      </c>
      <c r="B29" s="66" t="s">
        <v>372</v>
      </c>
      <c r="C29" s="66" t="s">
        <v>67</v>
      </c>
      <c r="D29" s="118" t="s">
        <v>113</v>
      </c>
      <c r="E29" s="7" t="s">
        <v>16</v>
      </c>
      <c r="F29" s="4">
        <f t="shared" si="3"/>
        <v>77000</v>
      </c>
      <c r="G29" s="4">
        <f>42000+35000</f>
        <v>77000</v>
      </c>
      <c r="H29" s="12"/>
      <c r="I29" s="12"/>
      <c r="J29" s="12"/>
      <c r="K29" s="4">
        <f t="shared" si="4"/>
        <v>0</v>
      </c>
      <c r="L29" s="4"/>
      <c r="M29" s="4"/>
      <c r="N29" s="4"/>
      <c r="O29" s="12"/>
      <c r="P29" s="12"/>
      <c r="Q29" s="4">
        <f t="shared" si="1"/>
        <v>77000</v>
      </c>
      <c r="T29" s="22"/>
    </row>
    <row r="30" spans="1:20" s="8" customFormat="1" ht="54.75" customHeight="1">
      <c r="A30" s="66" t="s">
        <v>352</v>
      </c>
      <c r="B30" s="66" t="s">
        <v>373</v>
      </c>
      <c r="C30" s="66" t="s">
        <v>67</v>
      </c>
      <c r="D30" s="118" t="s">
        <v>353</v>
      </c>
      <c r="E30" s="7"/>
      <c r="F30" s="4">
        <f t="shared" si="3"/>
        <v>632050</v>
      </c>
      <c r="G30" s="4">
        <f>36000+517600+62100+10350+6000</f>
        <v>632050</v>
      </c>
      <c r="H30" s="12"/>
      <c r="I30" s="12"/>
      <c r="J30" s="12"/>
      <c r="K30" s="4">
        <f t="shared" si="4"/>
        <v>50480</v>
      </c>
      <c r="L30" s="4">
        <f>18980+37500-6000</f>
        <v>50480</v>
      </c>
      <c r="M30" s="4"/>
      <c r="N30" s="4"/>
      <c r="O30" s="12"/>
      <c r="P30" s="12">
        <f>18980+37500-6000</f>
        <v>50480</v>
      </c>
      <c r="Q30" s="4">
        <f t="shared" si="1"/>
        <v>682530</v>
      </c>
      <c r="T30" s="22"/>
    </row>
    <row r="31" spans="1:20" s="8" customFormat="1" ht="54.75" customHeight="1">
      <c r="A31" s="66" t="s">
        <v>224</v>
      </c>
      <c r="B31" s="66" t="s">
        <v>374</v>
      </c>
      <c r="C31" s="66" t="s">
        <v>66</v>
      </c>
      <c r="D31" s="118" t="s">
        <v>225</v>
      </c>
      <c r="E31" s="7"/>
      <c r="F31" s="4">
        <f>G31+J31</f>
        <v>1961200</v>
      </c>
      <c r="G31" s="4">
        <f>1715000+68000+109200+66000+1000+2000</f>
        <v>1961200</v>
      </c>
      <c r="H31" s="12"/>
      <c r="I31" s="12"/>
      <c r="J31" s="12"/>
      <c r="K31" s="4">
        <f t="shared" si="4"/>
        <v>0</v>
      </c>
      <c r="L31" s="4"/>
      <c r="M31" s="4"/>
      <c r="N31" s="4"/>
      <c r="O31" s="12"/>
      <c r="P31" s="12"/>
      <c r="Q31" s="4">
        <f t="shared" si="1"/>
        <v>1961200</v>
      </c>
      <c r="T31" s="22"/>
    </row>
    <row r="32" spans="1:20" s="8" customFormat="1" ht="38.25" customHeight="1">
      <c r="A32" s="66" t="s">
        <v>319</v>
      </c>
      <c r="B32" s="66" t="s">
        <v>375</v>
      </c>
      <c r="C32" s="66" t="s">
        <v>318</v>
      </c>
      <c r="D32" s="119" t="s">
        <v>320</v>
      </c>
      <c r="E32" s="7" t="s">
        <v>20</v>
      </c>
      <c r="F32" s="4">
        <f t="shared" si="3"/>
        <v>0</v>
      </c>
      <c r="G32" s="4"/>
      <c r="H32" s="12"/>
      <c r="I32" s="12"/>
      <c r="J32" s="12"/>
      <c r="K32" s="4">
        <f t="shared" si="4"/>
        <v>400000</v>
      </c>
      <c r="L32" s="4">
        <v>400000</v>
      </c>
      <c r="M32" s="4"/>
      <c r="N32" s="4"/>
      <c r="O32" s="12"/>
      <c r="P32" s="12">
        <v>400000</v>
      </c>
      <c r="Q32" s="4">
        <f t="shared" si="1"/>
        <v>400000</v>
      </c>
      <c r="T32" s="22"/>
    </row>
    <row r="33" spans="1:20" s="8" customFormat="1" ht="80.25" hidden="1" customHeight="1">
      <c r="A33" s="66" t="s">
        <v>339</v>
      </c>
      <c r="B33" s="66" t="s">
        <v>376</v>
      </c>
      <c r="C33" s="66" t="s">
        <v>318</v>
      </c>
      <c r="D33" s="119" t="s">
        <v>340</v>
      </c>
      <c r="E33" s="13"/>
      <c r="F33" s="4">
        <f t="shared" si="3"/>
        <v>0</v>
      </c>
      <c r="G33" s="48"/>
      <c r="H33" s="49"/>
      <c r="I33" s="49"/>
      <c r="J33" s="49"/>
      <c r="K33" s="4">
        <f t="shared" si="4"/>
        <v>0</v>
      </c>
      <c r="L33" s="48"/>
      <c r="M33" s="48"/>
      <c r="N33" s="48"/>
      <c r="O33" s="49"/>
      <c r="P33" s="49"/>
      <c r="Q33" s="4">
        <f t="shared" si="1"/>
        <v>0</v>
      </c>
      <c r="T33" s="22"/>
    </row>
    <row r="34" spans="1:20" s="8" customFormat="1" ht="43.95" customHeight="1">
      <c r="A34" s="66" t="s">
        <v>488</v>
      </c>
      <c r="B34" s="66" t="s">
        <v>446</v>
      </c>
      <c r="C34" s="66" t="s">
        <v>83</v>
      </c>
      <c r="D34" s="119" t="s">
        <v>489</v>
      </c>
      <c r="E34" s="13"/>
      <c r="F34" s="4">
        <f t="shared" si="3"/>
        <v>0</v>
      </c>
      <c r="G34" s="48"/>
      <c r="H34" s="49"/>
      <c r="I34" s="49"/>
      <c r="J34" s="49"/>
      <c r="K34" s="4">
        <f>M34+P34</f>
        <v>180000</v>
      </c>
      <c r="L34" s="48">
        <f>150000+900000+350000-350000-900000+30000</f>
        <v>180000</v>
      </c>
      <c r="M34" s="48"/>
      <c r="N34" s="48"/>
      <c r="O34" s="49"/>
      <c r="P34" s="49">
        <f>L34</f>
        <v>180000</v>
      </c>
      <c r="Q34" s="4">
        <f>F34+K34</f>
        <v>180000</v>
      </c>
      <c r="T34" s="22"/>
    </row>
    <row r="35" spans="1:20" s="8" customFormat="1" ht="54.75" customHeight="1">
      <c r="A35" s="66" t="s">
        <v>462</v>
      </c>
      <c r="B35" s="66" t="s">
        <v>450</v>
      </c>
      <c r="C35" s="66" t="s">
        <v>83</v>
      </c>
      <c r="D35" s="119" t="s">
        <v>463</v>
      </c>
      <c r="E35" s="13"/>
      <c r="F35" s="4">
        <f>G35+J35</f>
        <v>0</v>
      </c>
      <c r="G35" s="48"/>
      <c r="H35" s="49"/>
      <c r="I35" s="49"/>
      <c r="J35" s="49"/>
      <c r="K35" s="4">
        <f t="shared" si="4"/>
        <v>290000</v>
      </c>
      <c r="L35" s="48">
        <f>100000+190000</f>
        <v>290000</v>
      </c>
      <c r="M35" s="48"/>
      <c r="N35" s="48"/>
      <c r="O35" s="49"/>
      <c r="P35" s="49">
        <f>100000+190000</f>
        <v>290000</v>
      </c>
      <c r="Q35" s="4">
        <f t="shared" si="1"/>
        <v>290000</v>
      </c>
      <c r="T35" s="22"/>
    </row>
    <row r="36" spans="1:20" s="8" customFormat="1" ht="40.200000000000003" customHeight="1">
      <c r="A36" s="66" t="s">
        <v>464</v>
      </c>
      <c r="B36" s="66" t="s">
        <v>465</v>
      </c>
      <c r="C36" s="66" t="s">
        <v>466</v>
      </c>
      <c r="D36" s="119" t="s">
        <v>467</v>
      </c>
      <c r="E36" s="7"/>
      <c r="F36" s="4">
        <f>G36+J36</f>
        <v>1103589</v>
      </c>
      <c r="G36" s="4">
        <f>1041085-160600-8300+13304+52500+5000-70804</f>
        <v>872185</v>
      </c>
      <c r="H36" s="12"/>
      <c r="I36" s="12"/>
      <c r="J36" s="12">
        <f>160600+70804</f>
        <v>231404</v>
      </c>
      <c r="K36" s="4">
        <f t="shared" si="4"/>
        <v>494296</v>
      </c>
      <c r="L36" s="4">
        <f>672600-13304-165000</f>
        <v>494296</v>
      </c>
      <c r="M36" s="4"/>
      <c r="N36" s="4"/>
      <c r="O36" s="12"/>
      <c r="P36" s="12">
        <f>672600-13304-165000</f>
        <v>494296</v>
      </c>
      <c r="Q36" s="4">
        <f t="shared" si="1"/>
        <v>1597885</v>
      </c>
      <c r="T36" s="22"/>
    </row>
    <row r="37" spans="1:20" s="8" customFormat="1" ht="62.4" hidden="1" customHeight="1">
      <c r="A37" s="66" t="s">
        <v>211</v>
      </c>
      <c r="B37" s="66" t="s">
        <v>378</v>
      </c>
      <c r="C37" s="66" t="s">
        <v>210</v>
      </c>
      <c r="D37" s="119" t="s">
        <v>307</v>
      </c>
      <c r="E37" s="13"/>
      <c r="F37" s="4">
        <f t="shared" si="3"/>
        <v>0</v>
      </c>
      <c r="G37" s="48"/>
      <c r="H37" s="49"/>
      <c r="I37" s="49"/>
      <c r="J37" s="49"/>
      <c r="K37" s="4">
        <f t="shared" si="4"/>
        <v>0</v>
      </c>
      <c r="L37" s="48"/>
      <c r="M37" s="48"/>
      <c r="N37" s="48"/>
      <c r="O37" s="49"/>
      <c r="P37" s="49"/>
      <c r="Q37" s="4">
        <f t="shared" si="1"/>
        <v>0</v>
      </c>
      <c r="T37" s="22"/>
    </row>
    <row r="38" spans="1:20" s="8" customFormat="1" ht="37.950000000000003" customHeight="1">
      <c r="A38" s="66" t="s">
        <v>135</v>
      </c>
      <c r="B38" s="66" t="s">
        <v>379</v>
      </c>
      <c r="C38" s="66" t="s">
        <v>137</v>
      </c>
      <c r="D38" s="118" t="s">
        <v>136</v>
      </c>
      <c r="E38" s="7"/>
      <c r="F38" s="4">
        <f t="shared" si="3"/>
        <v>510000</v>
      </c>
      <c r="G38" s="48">
        <v>10000</v>
      </c>
      <c r="H38" s="49"/>
      <c r="I38" s="49"/>
      <c r="J38" s="49">
        <v>500000</v>
      </c>
      <c r="K38" s="4">
        <f t="shared" si="4"/>
        <v>0</v>
      </c>
      <c r="L38" s="48"/>
      <c r="M38" s="48"/>
      <c r="N38" s="48"/>
      <c r="O38" s="49"/>
      <c r="P38" s="49"/>
      <c r="Q38" s="4">
        <f t="shared" si="1"/>
        <v>510000</v>
      </c>
      <c r="T38" s="22"/>
    </row>
    <row r="39" spans="1:20" s="8" customFormat="1" ht="37.950000000000003" customHeight="1">
      <c r="A39" s="66" t="s">
        <v>140</v>
      </c>
      <c r="B39" s="66" t="s">
        <v>380</v>
      </c>
      <c r="C39" s="66" t="s">
        <v>86</v>
      </c>
      <c r="D39" s="118" t="s">
        <v>141</v>
      </c>
      <c r="E39" s="7"/>
      <c r="F39" s="4">
        <f t="shared" si="3"/>
        <v>500000</v>
      </c>
      <c r="G39" s="48"/>
      <c r="H39" s="49"/>
      <c r="I39" s="49"/>
      <c r="J39" s="49">
        <v>500000</v>
      </c>
      <c r="K39" s="4">
        <f t="shared" si="4"/>
        <v>0</v>
      </c>
      <c r="L39" s="48"/>
      <c r="M39" s="48"/>
      <c r="N39" s="48"/>
      <c r="O39" s="49"/>
      <c r="P39" s="49"/>
      <c r="Q39" s="4">
        <f t="shared" si="1"/>
        <v>500000</v>
      </c>
      <c r="T39" s="22"/>
    </row>
    <row r="40" spans="1:20" s="8" customFormat="1" ht="37.950000000000003" customHeight="1">
      <c r="A40" s="66" t="s">
        <v>335</v>
      </c>
      <c r="B40" s="66" t="s">
        <v>381</v>
      </c>
      <c r="C40" s="66" t="s">
        <v>210</v>
      </c>
      <c r="D40" s="119" t="s">
        <v>304</v>
      </c>
      <c r="E40" s="13"/>
      <c r="F40" s="4">
        <f t="shared" si="3"/>
        <v>0</v>
      </c>
      <c r="G40" s="48"/>
      <c r="H40" s="49"/>
      <c r="I40" s="49"/>
      <c r="J40" s="49"/>
      <c r="K40" s="4">
        <f t="shared" si="4"/>
        <v>0</v>
      </c>
      <c r="L40" s="48"/>
      <c r="M40" s="48"/>
      <c r="N40" s="48"/>
      <c r="O40" s="49"/>
      <c r="P40" s="49"/>
      <c r="Q40" s="4">
        <f t="shared" si="1"/>
        <v>0</v>
      </c>
      <c r="T40" s="22"/>
    </row>
    <row r="41" spans="1:20" s="8" customFormat="1" ht="37.950000000000003" customHeight="1">
      <c r="A41" s="66" t="s">
        <v>290</v>
      </c>
      <c r="B41" s="66" t="s">
        <v>382</v>
      </c>
      <c r="C41" s="66" t="s">
        <v>210</v>
      </c>
      <c r="D41" s="118" t="s">
        <v>291</v>
      </c>
      <c r="E41" s="7"/>
      <c r="F41" s="4">
        <f t="shared" si="3"/>
        <v>50000</v>
      </c>
      <c r="G41" s="48">
        <v>50000</v>
      </c>
      <c r="H41" s="49"/>
      <c r="I41" s="49"/>
      <c r="J41" s="49"/>
      <c r="K41" s="4">
        <f t="shared" si="4"/>
        <v>0</v>
      </c>
      <c r="L41" s="48"/>
      <c r="M41" s="48"/>
      <c r="N41" s="48"/>
      <c r="O41" s="49"/>
      <c r="P41" s="49"/>
      <c r="Q41" s="4">
        <f t="shared" si="1"/>
        <v>50000</v>
      </c>
      <c r="T41" s="22"/>
    </row>
    <row r="42" spans="1:20" s="8" customFormat="1" ht="37.950000000000003" customHeight="1">
      <c r="A42" s="66" t="s">
        <v>132</v>
      </c>
      <c r="B42" s="66" t="s">
        <v>383</v>
      </c>
      <c r="C42" s="66" t="s">
        <v>71</v>
      </c>
      <c r="D42" s="119" t="s">
        <v>266</v>
      </c>
      <c r="E42" s="7"/>
      <c r="F42" s="48">
        <f t="shared" si="3"/>
        <v>495000</v>
      </c>
      <c r="G42" s="48">
        <f>130000+90000-125000+400000</f>
        <v>495000</v>
      </c>
      <c r="H42" s="49"/>
      <c r="I42" s="49"/>
      <c r="J42" s="49"/>
      <c r="K42" s="4">
        <f t="shared" si="4"/>
        <v>125000</v>
      </c>
      <c r="L42" s="48">
        <v>125000</v>
      </c>
      <c r="M42" s="48"/>
      <c r="N42" s="48"/>
      <c r="O42" s="49"/>
      <c r="P42" s="49">
        <f>L42</f>
        <v>125000</v>
      </c>
      <c r="Q42" s="4">
        <f t="shared" si="1"/>
        <v>620000</v>
      </c>
      <c r="T42" s="22"/>
    </row>
    <row r="43" spans="1:20" s="8" customFormat="1" ht="34.200000000000003" customHeight="1">
      <c r="A43" s="68" t="s">
        <v>468</v>
      </c>
      <c r="B43" s="68" t="s">
        <v>469</v>
      </c>
      <c r="C43" s="68" t="s">
        <v>470</v>
      </c>
      <c r="D43" s="120" t="s">
        <v>471</v>
      </c>
      <c r="E43" s="7" t="s">
        <v>4</v>
      </c>
      <c r="F43" s="48">
        <f>G43+J43</f>
        <v>170000</v>
      </c>
      <c r="G43" s="48">
        <f>260000-90000</f>
        <v>170000</v>
      </c>
      <c r="H43" s="49"/>
      <c r="I43" s="49"/>
      <c r="J43" s="49"/>
      <c r="K43" s="4">
        <f t="shared" si="4"/>
        <v>0</v>
      </c>
      <c r="L43" s="48"/>
      <c r="M43" s="48"/>
      <c r="N43" s="48"/>
      <c r="O43" s="49"/>
      <c r="P43" s="49"/>
      <c r="Q43" s="4">
        <f t="shared" si="1"/>
        <v>170000</v>
      </c>
      <c r="T43" s="22"/>
    </row>
    <row r="44" spans="1:20" s="8" customFormat="1" ht="34.200000000000003" hidden="1" customHeight="1">
      <c r="A44" s="68" t="s">
        <v>133</v>
      </c>
      <c r="B44" s="68" t="s">
        <v>384</v>
      </c>
      <c r="C44" s="68" t="s">
        <v>69</v>
      </c>
      <c r="D44" s="39" t="s">
        <v>115</v>
      </c>
      <c r="E44" s="7" t="s">
        <v>4</v>
      </c>
      <c r="F44" s="48">
        <f t="shared" si="3"/>
        <v>0</v>
      </c>
      <c r="G44" s="48"/>
      <c r="H44" s="49"/>
      <c r="I44" s="49"/>
      <c r="J44" s="49"/>
      <c r="K44" s="4">
        <f t="shared" si="4"/>
        <v>0</v>
      </c>
      <c r="L44" s="48"/>
      <c r="M44" s="48"/>
      <c r="N44" s="48"/>
      <c r="O44" s="49"/>
      <c r="P44" s="49"/>
      <c r="Q44" s="4">
        <f t="shared" si="1"/>
        <v>0</v>
      </c>
      <c r="T44" s="22"/>
    </row>
    <row r="45" spans="1:20" s="8" customFormat="1" ht="32.4" hidden="1" customHeight="1">
      <c r="A45" s="66" t="s">
        <v>134</v>
      </c>
      <c r="B45" s="66" t="s">
        <v>385</v>
      </c>
      <c r="C45" s="66" t="s">
        <v>69</v>
      </c>
      <c r="D45" s="37" t="s">
        <v>117</v>
      </c>
      <c r="E45" s="63"/>
      <c r="F45" s="4">
        <f>G45+J45</f>
        <v>0</v>
      </c>
      <c r="G45" s="4"/>
      <c r="H45" s="12"/>
      <c r="I45" s="12"/>
      <c r="J45" s="12"/>
      <c r="K45" s="4">
        <f t="shared" si="4"/>
        <v>0</v>
      </c>
      <c r="L45" s="4"/>
      <c r="M45" s="4"/>
      <c r="N45" s="4"/>
      <c r="O45" s="12"/>
      <c r="P45" s="12"/>
      <c r="Q45" s="4">
        <f t="shared" si="1"/>
        <v>0</v>
      </c>
      <c r="T45" s="22"/>
    </row>
    <row r="46" spans="1:20" s="8" customFormat="1" ht="32.4" customHeight="1">
      <c r="A46" s="66" t="s">
        <v>133</v>
      </c>
      <c r="B46" s="66" t="s">
        <v>384</v>
      </c>
      <c r="C46" s="66" t="s">
        <v>69</v>
      </c>
      <c r="D46" s="37" t="s">
        <v>115</v>
      </c>
      <c r="E46" s="63"/>
      <c r="F46" s="4">
        <f>G46</f>
        <v>151176</v>
      </c>
      <c r="G46" s="4">
        <v>151176</v>
      </c>
      <c r="H46" s="12"/>
      <c r="I46" s="12"/>
      <c r="J46" s="12"/>
      <c r="K46" s="4"/>
      <c r="L46" s="4"/>
      <c r="M46" s="4"/>
      <c r="N46" s="4"/>
      <c r="O46" s="12"/>
      <c r="P46" s="12"/>
      <c r="Q46" s="4"/>
      <c r="T46" s="22"/>
    </row>
    <row r="47" spans="1:20" s="26" customFormat="1" ht="44.4" customHeight="1">
      <c r="A47" s="74" t="s">
        <v>142</v>
      </c>
      <c r="B47" s="74" t="s">
        <v>142</v>
      </c>
      <c r="C47" s="83"/>
      <c r="D47" s="84" t="s">
        <v>28</v>
      </c>
      <c r="E47" s="83" t="s">
        <v>28</v>
      </c>
      <c r="F47" s="77">
        <f>F48</f>
        <v>227613324.92999998</v>
      </c>
      <c r="G47" s="77">
        <f t="shared" ref="G47:P47" si="5">G48</f>
        <v>227613324.92999998</v>
      </c>
      <c r="H47" s="77">
        <f t="shared" si="5"/>
        <v>175636196.41</v>
      </c>
      <c r="I47" s="78">
        <f t="shared" si="5"/>
        <v>25825530</v>
      </c>
      <c r="J47" s="78">
        <f t="shared" si="5"/>
        <v>0</v>
      </c>
      <c r="K47" s="77">
        <f t="shared" si="5"/>
        <v>22236135.240000002</v>
      </c>
      <c r="L47" s="77">
        <f t="shared" si="5"/>
        <v>13455535.24</v>
      </c>
      <c r="M47" s="78">
        <f t="shared" si="5"/>
        <v>8780600</v>
      </c>
      <c r="N47" s="78">
        <f t="shared" si="5"/>
        <v>231800</v>
      </c>
      <c r="O47" s="78">
        <f t="shared" si="5"/>
        <v>296300</v>
      </c>
      <c r="P47" s="77">
        <f t="shared" si="5"/>
        <v>13455535.24</v>
      </c>
      <c r="Q47" s="77">
        <f t="shared" ref="Q47:Q73" si="6">F47+K47</f>
        <v>249849460.16999999</v>
      </c>
      <c r="T47" s="24"/>
    </row>
    <row r="48" spans="1:20" s="26" customFormat="1" ht="31.2" customHeight="1">
      <c r="A48" s="79" t="s">
        <v>143</v>
      </c>
      <c r="B48" s="79" t="s">
        <v>143</v>
      </c>
      <c r="C48" s="85"/>
      <c r="D48" s="86" t="s">
        <v>180</v>
      </c>
      <c r="E48" s="85"/>
      <c r="F48" s="87">
        <f>G48</f>
        <v>227613324.92999998</v>
      </c>
      <c r="G48" s="87">
        <f>SUM(G49:G66)</f>
        <v>227613324.92999998</v>
      </c>
      <c r="H48" s="87">
        <f>SUM(H49:H66)</f>
        <v>175636196.41</v>
      </c>
      <c r="I48" s="87">
        <f>SUM(I49:I66)</f>
        <v>25825530</v>
      </c>
      <c r="J48" s="87">
        <f t="shared" ref="J48:P48" si="7">SUM(J49:J65)+J66</f>
        <v>0</v>
      </c>
      <c r="K48" s="87">
        <f t="shared" si="7"/>
        <v>22236135.240000002</v>
      </c>
      <c r="L48" s="87">
        <f t="shared" si="7"/>
        <v>13455535.24</v>
      </c>
      <c r="M48" s="87">
        <f t="shared" si="7"/>
        <v>8780600</v>
      </c>
      <c r="N48" s="87">
        <f t="shared" si="7"/>
        <v>231800</v>
      </c>
      <c r="O48" s="87">
        <f t="shared" si="7"/>
        <v>296300</v>
      </c>
      <c r="P48" s="87">
        <f t="shared" si="7"/>
        <v>13455535.24</v>
      </c>
      <c r="Q48" s="87">
        <f t="shared" si="6"/>
        <v>249849460.16999999</v>
      </c>
      <c r="T48" s="24"/>
    </row>
    <row r="49" spans="1:20" s="8" customFormat="1" ht="59.4" customHeight="1">
      <c r="A49" s="66" t="s">
        <v>145</v>
      </c>
      <c r="B49" s="66" t="s">
        <v>358</v>
      </c>
      <c r="C49" s="66" t="s">
        <v>61</v>
      </c>
      <c r="D49" s="117" t="s">
        <v>305</v>
      </c>
      <c r="E49" s="7" t="s">
        <v>2</v>
      </c>
      <c r="F49" s="4">
        <f t="shared" si="3"/>
        <v>1510240</v>
      </c>
      <c r="G49" s="4">
        <f>1445500+64000+740</f>
        <v>1510240</v>
      </c>
      <c r="H49" s="12">
        <f>1387500+64000</f>
        <v>1451500</v>
      </c>
      <c r="I49" s="12">
        <v>25500</v>
      </c>
      <c r="J49" s="12"/>
      <c r="K49" s="4">
        <f t="shared" ref="K49:K66" si="8">M49+P49</f>
        <v>0</v>
      </c>
      <c r="L49" s="4"/>
      <c r="M49" s="12"/>
      <c r="N49" s="4"/>
      <c r="O49" s="12"/>
      <c r="P49" s="12"/>
      <c r="Q49" s="4">
        <f t="shared" si="6"/>
        <v>1510240</v>
      </c>
      <c r="T49" s="22"/>
    </row>
    <row r="50" spans="1:20" s="8" customFormat="1" ht="35.25" customHeight="1">
      <c r="A50" s="66" t="s">
        <v>274</v>
      </c>
      <c r="B50" s="66" t="s">
        <v>280</v>
      </c>
      <c r="C50" s="66" t="s">
        <v>72</v>
      </c>
      <c r="D50" s="117" t="s">
        <v>139</v>
      </c>
      <c r="E50" s="7"/>
      <c r="F50" s="4">
        <f t="shared" si="3"/>
        <v>22000</v>
      </c>
      <c r="G50" s="4">
        <f>20000+2000</f>
        <v>22000</v>
      </c>
      <c r="H50" s="12"/>
      <c r="I50" s="12"/>
      <c r="J50" s="12"/>
      <c r="K50" s="4">
        <f t="shared" si="8"/>
        <v>0</v>
      </c>
      <c r="L50" s="4"/>
      <c r="M50" s="12"/>
      <c r="N50" s="4"/>
      <c r="O50" s="12"/>
      <c r="P50" s="12"/>
      <c r="Q50" s="4">
        <f t="shared" si="6"/>
        <v>22000</v>
      </c>
      <c r="T50" s="22"/>
    </row>
    <row r="51" spans="1:20" s="8" customFormat="1" ht="36.75" customHeight="1">
      <c r="A51" s="66" t="s">
        <v>146</v>
      </c>
      <c r="B51" s="66" t="s">
        <v>81</v>
      </c>
      <c r="C51" s="66" t="s">
        <v>73</v>
      </c>
      <c r="D51" s="119" t="s">
        <v>147</v>
      </c>
      <c r="E51" s="7" t="s">
        <v>6</v>
      </c>
      <c r="F51" s="41">
        <f t="shared" si="3"/>
        <v>52387307.859999999</v>
      </c>
      <c r="G51" s="41">
        <f>54671800-3473160+1000000+113460+62906.86+10301+2000</f>
        <v>52387307.859999999</v>
      </c>
      <c r="H51" s="50">
        <f>40565000-3473160+1000000+62906.86</f>
        <v>38154746.859999999</v>
      </c>
      <c r="I51" s="12">
        <v>7750800</v>
      </c>
      <c r="J51" s="12"/>
      <c r="K51" s="4">
        <f t="shared" si="8"/>
        <v>5057000</v>
      </c>
      <c r="L51" s="4">
        <v>227000</v>
      </c>
      <c r="M51" s="12">
        <v>4830000</v>
      </c>
      <c r="N51" s="4"/>
      <c r="O51" s="12"/>
      <c r="P51" s="12">
        <v>227000</v>
      </c>
      <c r="Q51" s="4">
        <f t="shared" si="6"/>
        <v>57444307.859999999</v>
      </c>
      <c r="T51" s="22"/>
    </row>
    <row r="52" spans="1:20" s="8" customFormat="1" ht="80.25" customHeight="1">
      <c r="A52" s="66" t="s">
        <v>148</v>
      </c>
      <c r="B52" s="66" t="s">
        <v>82</v>
      </c>
      <c r="C52" s="66" t="s">
        <v>74</v>
      </c>
      <c r="D52" s="119" t="s">
        <v>498</v>
      </c>
      <c r="E52" s="7" t="s">
        <v>40</v>
      </c>
      <c r="F52" s="41">
        <f t="shared" si="3"/>
        <v>151329148.52000001</v>
      </c>
      <c r="G52" s="41">
        <f>4500000+55000+133928070+3473160+399830+4376000+140000+85000+77000+183000+50000+100000+20000+1989500+33920+2092901.52-174233</f>
        <v>151329148.52000001</v>
      </c>
      <c r="H52" s="51">
        <f>111752000+4376000+1989500</f>
        <v>118117500</v>
      </c>
      <c r="I52" s="12">
        <v>16675710</v>
      </c>
      <c r="J52" s="12"/>
      <c r="K52" s="4">
        <f t="shared" si="8"/>
        <v>4617680</v>
      </c>
      <c r="L52" s="41">
        <f>715500+10000-33920</f>
        <v>691580</v>
      </c>
      <c r="M52" s="12">
        <v>3926100</v>
      </c>
      <c r="N52" s="4">
        <v>231800</v>
      </c>
      <c r="O52" s="12">
        <v>296300</v>
      </c>
      <c r="P52" s="50">
        <f>715500+10000-33920</f>
        <v>691580</v>
      </c>
      <c r="Q52" s="4">
        <f>F52+K52</f>
        <v>155946828.52000001</v>
      </c>
      <c r="T52" s="22"/>
    </row>
    <row r="53" spans="1:20" s="8" customFormat="1" ht="51" customHeight="1">
      <c r="A53" s="66" t="s">
        <v>149</v>
      </c>
      <c r="B53" s="66" t="s">
        <v>66</v>
      </c>
      <c r="C53" s="66" t="s">
        <v>75</v>
      </c>
      <c r="D53" s="118" t="s">
        <v>484</v>
      </c>
      <c r="E53" s="7" t="s">
        <v>7</v>
      </c>
      <c r="F53" s="41">
        <f t="shared" si="3"/>
        <v>7095160</v>
      </c>
      <c r="G53" s="41">
        <f>6896260+156800+13600+23500+5000</f>
        <v>7095160</v>
      </c>
      <c r="H53" s="50">
        <v>6100000</v>
      </c>
      <c r="I53" s="12">
        <v>463620</v>
      </c>
      <c r="J53" s="12"/>
      <c r="K53" s="4">
        <f t="shared" si="8"/>
        <v>267700</v>
      </c>
      <c r="L53" s="4">
        <f>32000+18000+193200</f>
        <v>243200</v>
      </c>
      <c r="M53" s="12">
        <f>24500</f>
        <v>24500</v>
      </c>
      <c r="N53" s="4"/>
      <c r="O53" s="12"/>
      <c r="P53" s="12">
        <f>32000+18000+193200</f>
        <v>243200</v>
      </c>
      <c r="Q53" s="4">
        <f t="shared" si="6"/>
        <v>7362860</v>
      </c>
      <c r="T53" s="22"/>
    </row>
    <row r="54" spans="1:20" s="8" customFormat="1" ht="40.200000000000003" customHeight="1">
      <c r="A54" s="66" t="s">
        <v>150</v>
      </c>
      <c r="B54" s="66" t="s">
        <v>387</v>
      </c>
      <c r="C54" s="66" t="s">
        <v>76</v>
      </c>
      <c r="D54" s="119" t="s">
        <v>486</v>
      </c>
      <c r="E54" s="7" t="s">
        <v>8</v>
      </c>
      <c r="F54" s="4">
        <f t="shared" si="3"/>
        <v>1276460</v>
      </c>
      <c r="G54" s="4">
        <f>1274460+2000</f>
        <v>1276460</v>
      </c>
      <c r="H54" s="12">
        <v>1159000</v>
      </c>
      <c r="I54" s="12">
        <v>90360</v>
      </c>
      <c r="J54" s="12"/>
      <c r="K54" s="4">
        <f t="shared" si="8"/>
        <v>0</v>
      </c>
      <c r="L54" s="4"/>
      <c r="M54" s="12"/>
      <c r="N54" s="4"/>
      <c r="O54" s="12"/>
      <c r="P54" s="12"/>
      <c r="Q54" s="4">
        <f t="shared" si="6"/>
        <v>1276460</v>
      </c>
      <c r="T54" s="22"/>
    </row>
    <row r="55" spans="1:20" s="8" customFormat="1" ht="34.950000000000003" customHeight="1">
      <c r="A55" s="66" t="s">
        <v>226</v>
      </c>
      <c r="B55" s="66" t="s">
        <v>388</v>
      </c>
      <c r="C55" s="68" t="s">
        <v>76</v>
      </c>
      <c r="D55" s="7" t="s">
        <v>227</v>
      </c>
      <c r="E55" s="9"/>
      <c r="F55" s="48">
        <f t="shared" si="3"/>
        <v>4036893.14</v>
      </c>
      <c r="G55" s="41">
        <f>3799800+300000-62906.86</f>
        <v>4036893.14</v>
      </c>
      <c r="H55" s="50">
        <f>3416000+300000-62906.86</f>
        <v>3653093.14</v>
      </c>
      <c r="I55" s="12">
        <v>104300</v>
      </c>
      <c r="J55" s="12"/>
      <c r="K55" s="4"/>
      <c r="L55" s="4"/>
      <c r="M55" s="12"/>
      <c r="N55" s="4"/>
      <c r="O55" s="12"/>
      <c r="P55" s="12"/>
      <c r="Q55" s="4">
        <f t="shared" si="6"/>
        <v>4036893.14</v>
      </c>
      <c r="T55" s="22"/>
    </row>
    <row r="56" spans="1:20" s="8" customFormat="1" ht="0.75" hidden="1" customHeight="1">
      <c r="B56" s="66" t="s">
        <v>386</v>
      </c>
      <c r="F56" s="43"/>
      <c r="G56" s="43"/>
      <c r="H56" s="43"/>
      <c r="I56" s="12"/>
      <c r="J56" s="12"/>
      <c r="K56" s="4"/>
      <c r="L56" s="4"/>
      <c r="M56" s="12"/>
      <c r="N56" s="4"/>
      <c r="O56" s="12"/>
      <c r="P56" s="12"/>
      <c r="Q56" s="4" t="e">
        <f>#REF!+K56</f>
        <v>#REF!</v>
      </c>
      <c r="T56" s="22"/>
    </row>
    <row r="57" spans="1:20" s="8" customFormat="1" ht="25.2" customHeight="1">
      <c r="A57" s="66" t="s">
        <v>268</v>
      </c>
      <c r="B57" s="66" t="s">
        <v>389</v>
      </c>
      <c r="C57" s="66" t="s">
        <v>76</v>
      </c>
      <c r="D57" s="10" t="s">
        <v>269</v>
      </c>
      <c r="E57" s="7"/>
      <c r="F57" s="4">
        <f t="shared" si="3"/>
        <v>19910</v>
      </c>
      <c r="G57" s="4">
        <v>19910</v>
      </c>
      <c r="H57" s="12"/>
      <c r="I57" s="12"/>
      <c r="J57" s="12"/>
      <c r="K57" s="4">
        <f t="shared" si="8"/>
        <v>0</v>
      </c>
      <c r="L57" s="4"/>
      <c r="M57" s="12"/>
      <c r="N57" s="4"/>
      <c r="O57" s="12"/>
      <c r="P57" s="12"/>
      <c r="Q57" s="4">
        <f t="shared" si="6"/>
        <v>19910</v>
      </c>
      <c r="T57" s="22"/>
    </row>
    <row r="58" spans="1:20" s="8" customFormat="1" ht="36.75" customHeight="1">
      <c r="A58" s="66" t="s">
        <v>325</v>
      </c>
      <c r="B58" s="66" t="s">
        <v>390</v>
      </c>
      <c r="C58" s="69" t="s">
        <v>76</v>
      </c>
      <c r="D58" s="121" t="s">
        <v>326</v>
      </c>
      <c r="E58" s="5"/>
      <c r="F58" s="131">
        <f>G58+J58</f>
        <v>1744756.41</v>
      </c>
      <c r="G58" s="41">
        <f>1258000+485256.41+1500</f>
        <v>1744756.41</v>
      </c>
      <c r="H58" s="12">
        <f>1025100+485256.41</f>
        <v>1510356.41</v>
      </c>
      <c r="I58" s="12">
        <v>184200</v>
      </c>
      <c r="J58" s="12"/>
      <c r="K58" s="4">
        <f>L58</f>
        <v>0</v>
      </c>
      <c r="L58" s="4"/>
      <c r="M58" s="12"/>
      <c r="N58" s="4"/>
      <c r="O58" s="12"/>
      <c r="P58" s="12"/>
      <c r="Q58" s="4">
        <f t="shared" si="6"/>
        <v>1744756.41</v>
      </c>
      <c r="T58" s="22"/>
    </row>
    <row r="59" spans="1:20" s="8" customFormat="1" ht="63" customHeight="1">
      <c r="A59" s="66" t="s">
        <v>151</v>
      </c>
      <c r="B59" s="66" t="s">
        <v>391</v>
      </c>
      <c r="C59" s="69" t="s">
        <v>77</v>
      </c>
      <c r="D59" s="122" t="s">
        <v>93</v>
      </c>
      <c r="E59" s="5" t="s">
        <v>44</v>
      </c>
      <c r="F59" s="52">
        <f t="shared" si="3"/>
        <v>7769750</v>
      </c>
      <c r="G59" s="4">
        <f>6611000+650000+164550+250000+9200+75000+10000</f>
        <v>7769750</v>
      </c>
      <c r="H59" s="12">
        <v>5490000</v>
      </c>
      <c r="I59" s="12">
        <v>531040</v>
      </c>
      <c r="J59" s="12"/>
      <c r="K59" s="4">
        <f t="shared" si="8"/>
        <v>298800</v>
      </c>
      <c r="L59" s="4">
        <f>90000+231000-22200</f>
        <v>298800</v>
      </c>
      <c r="M59" s="12"/>
      <c r="N59" s="4"/>
      <c r="O59" s="12"/>
      <c r="P59" s="12">
        <f>90000+231000-22200</f>
        <v>298800</v>
      </c>
      <c r="Q59" s="4">
        <f t="shared" si="6"/>
        <v>8068550</v>
      </c>
      <c r="T59" s="22"/>
    </row>
    <row r="60" spans="1:20" s="8" customFormat="1" ht="34.5" customHeight="1">
      <c r="A60" s="66" t="s">
        <v>338</v>
      </c>
      <c r="B60" s="66" t="s">
        <v>377</v>
      </c>
      <c r="C60" s="69" t="s">
        <v>70</v>
      </c>
      <c r="D60" s="122" t="s">
        <v>116</v>
      </c>
      <c r="E60" s="5"/>
      <c r="F60" s="52">
        <v>0</v>
      </c>
      <c r="G60" s="4"/>
      <c r="H60" s="12"/>
      <c r="I60" s="12"/>
      <c r="J60" s="12"/>
      <c r="K60" s="41">
        <f t="shared" si="8"/>
        <v>0</v>
      </c>
      <c r="L60" s="41"/>
      <c r="M60" s="50"/>
      <c r="N60" s="4"/>
      <c r="O60" s="12"/>
      <c r="P60" s="12"/>
      <c r="Q60" s="41">
        <f t="shared" si="6"/>
        <v>0</v>
      </c>
      <c r="T60" s="22"/>
    </row>
    <row r="61" spans="1:20" s="8" customFormat="1" ht="34.5" customHeight="1">
      <c r="A61" s="66" t="s">
        <v>278</v>
      </c>
      <c r="B61" s="66" t="s">
        <v>392</v>
      </c>
      <c r="C61" s="69" t="s">
        <v>83</v>
      </c>
      <c r="D61" s="122" t="s">
        <v>279</v>
      </c>
      <c r="E61" s="5"/>
      <c r="F61" s="52">
        <f t="shared" si="3"/>
        <v>0</v>
      </c>
      <c r="G61" s="4"/>
      <c r="H61" s="12"/>
      <c r="I61" s="12"/>
      <c r="J61" s="12"/>
      <c r="K61" s="41">
        <f t="shared" si="8"/>
        <v>2646955.2399999998</v>
      </c>
      <c r="L61" s="41">
        <f>1168223.41+2477819.35+350468+743346-2092901.52</f>
        <v>2646955.2399999998</v>
      </c>
      <c r="M61" s="12"/>
      <c r="N61" s="4"/>
      <c r="O61" s="12"/>
      <c r="P61" s="50">
        <f>1168223.41+2477819.35+350468+743346-2092901.52</f>
        <v>2646955.2399999998</v>
      </c>
      <c r="Q61" s="4">
        <f t="shared" si="6"/>
        <v>2646955.2399999998</v>
      </c>
      <c r="T61" s="22"/>
    </row>
    <row r="62" spans="1:20" s="8" customFormat="1" ht="75.599999999999994" customHeight="1">
      <c r="A62" s="66" t="s">
        <v>277</v>
      </c>
      <c r="B62" s="66" t="s">
        <v>378</v>
      </c>
      <c r="C62" s="66" t="s">
        <v>210</v>
      </c>
      <c r="D62" s="119" t="s">
        <v>499</v>
      </c>
      <c r="E62" s="5"/>
      <c r="F62" s="52">
        <f t="shared" si="3"/>
        <v>0</v>
      </c>
      <c r="G62" s="4"/>
      <c r="H62" s="12"/>
      <c r="I62" s="12"/>
      <c r="J62" s="12"/>
      <c r="K62" s="41">
        <f t="shared" si="8"/>
        <v>0</v>
      </c>
      <c r="L62" s="41"/>
      <c r="M62" s="12"/>
      <c r="N62" s="4"/>
      <c r="O62" s="12"/>
      <c r="P62" s="50"/>
      <c r="Q62" s="41">
        <f t="shared" si="6"/>
        <v>0</v>
      </c>
      <c r="T62" s="22"/>
    </row>
    <row r="63" spans="1:20" s="8" customFormat="1" ht="36" customHeight="1">
      <c r="A63" s="66" t="s">
        <v>321</v>
      </c>
      <c r="B63" s="66" t="s">
        <v>393</v>
      </c>
      <c r="C63" s="66" t="s">
        <v>210</v>
      </c>
      <c r="D63" s="119" t="s">
        <v>322</v>
      </c>
      <c r="E63" s="5"/>
      <c r="F63" s="52">
        <f t="shared" si="3"/>
        <v>0</v>
      </c>
      <c r="G63" s="4"/>
      <c r="H63" s="12"/>
      <c r="I63" s="12"/>
      <c r="J63" s="12"/>
      <c r="K63" s="4">
        <f t="shared" si="8"/>
        <v>0</v>
      </c>
      <c r="L63" s="4"/>
      <c r="M63" s="12"/>
      <c r="N63" s="4"/>
      <c r="O63" s="12"/>
      <c r="P63" s="12"/>
      <c r="Q63" s="4">
        <f t="shared" si="6"/>
        <v>0</v>
      </c>
      <c r="T63" s="22"/>
    </row>
    <row r="64" spans="1:20" s="8" customFormat="1" ht="42" customHeight="1">
      <c r="A64" s="66" t="s">
        <v>472</v>
      </c>
      <c r="B64" s="66" t="s">
        <v>465</v>
      </c>
      <c r="C64" s="66" t="s">
        <v>466</v>
      </c>
      <c r="D64" s="119" t="s">
        <v>467</v>
      </c>
      <c r="E64" s="13"/>
      <c r="F64" s="4">
        <f t="shared" si="3"/>
        <v>421699</v>
      </c>
      <c r="G64" s="48">
        <f>397000+24699</f>
        <v>421699</v>
      </c>
      <c r="H64" s="49"/>
      <c r="I64" s="49"/>
      <c r="J64" s="49"/>
      <c r="K64" s="4">
        <f t="shared" si="8"/>
        <v>168000</v>
      </c>
      <c r="L64" s="48">
        <v>168000</v>
      </c>
      <c r="M64" s="48"/>
      <c r="N64" s="48"/>
      <c r="O64" s="49"/>
      <c r="P64" s="49">
        <v>168000</v>
      </c>
      <c r="Q64" s="4">
        <f>F64+K64</f>
        <v>589699</v>
      </c>
      <c r="T64" s="22"/>
    </row>
    <row r="65" spans="1:20" s="8" customFormat="1" ht="34.5" customHeight="1">
      <c r="A65" s="70" t="s">
        <v>292</v>
      </c>
      <c r="B65" s="66" t="s">
        <v>380</v>
      </c>
      <c r="C65" s="70"/>
      <c r="D65" s="118" t="s">
        <v>141</v>
      </c>
      <c r="E65" s="5"/>
      <c r="F65" s="52">
        <f t="shared" si="3"/>
        <v>0</v>
      </c>
      <c r="G65" s="4"/>
      <c r="H65" s="12"/>
      <c r="I65" s="12"/>
      <c r="J65" s="12"/>
      <c r="K65" s="4">
        <f t="shared" si="8"/>
        <v>9180000</v>
      </c>
      <c r="L65" s="4">
        <f>8680000+500000</f>
        <v>9180000</v>
      </c>
      <c r="M65" s="12"/>
      <c r="N65" s="4"/>
      <c r="O65" s="12"/>
      <c r="P65" s="12">
        <f>8680000+500000</f>
        <v>9180000</v>
      </c>
      <c r="Q65" s="4">
        <f t="shared" si="6"/>
        <v>9180000</v>
      </c>
      <c r="T65" s="22"/>
    </row>
    <row r="66" spans="1:20" s="8" customFormat="1" ht="51" hidden="1" customHeight="1">
      <c r="A66" s="66" t="s">
        <v>355</v>
      </c>
      <c r="B66" s="66" t="s">
        <v>383</v>
      </c>
      <c r="C66" s="66" t="s">
        <v>71</v>
      </c>
      <c r="D66" s="38" t="s">
        <v>266</v>
      </c>
      <c r="E66" s="5"/>
      <c r="F66" s="52">
        <f t="shared" si="3"/>
        <v>0</v>
      </c>
      <c r="G66" s="4"/>
      <c r="H66" s="12"/>
      <c r="I66" s="12"/>
      <c r="J66" s="12"/>
      <c r="K66" s="4">
        <f t="shared" si="8"/>
        <v>0</v>
      </c>
      <c r="L66" s="4"/>
      <c r="M66" s="12"/>
      <c r="N66" s="4"/>
      <c r="O66" s="12"/>
      <c r="P66" s="12"/>
      <c r="Q66" s="4">
        <f t="shared" si="6"/>
        <v>0</v>
      </c>
      <c r="T66" s="22"/>
    </row>
    <row r="67" spans="1:20" s="26" customFormat="1" ht="48" customHeight="1">
      <c r="A67" s="74" t="s">
        <v>158</v>
      </c>
      <c r="B67" s="74" t="s">
        <v>158</v>
      </c>
      <c r="C67" s="88"/>
      <c r="D67" s="84" t="s">
        <v>490</v>
      </c>
      <c r="E67" s="83" t="s">
        <v>33</v>
      </c>
      <c r="F67" s="77">
        <f>F68</f>
        <v>25501350</v>
      </c>
      <c r="G67" s="77">
        <f t="shared" ref="G67:P67" si="9">G68</f>
        <v>25501350</v>
      </c>
      <c r="H67" s="78">
        <f t="shared" si="9"/>
        <v>20564590</v>
      </c>
      <c r="I67" s="78">
        <f t="shared" si="9"/>
        <v>659850</v>
      </c>
      <c r="J67" s="78">
        <f t="shared" si="9"/>
        <v>0</v>
      </c>
      <c r="K67" s="77">
        <f t="shared" si="9"/>
        <v>283300</v>
      </c>
      <c r="L67" s="78">
        <f t="shared" si="9"/>
        <v>138300</v>
      </c>
      <c r="M67" s="78">
        <f t="shared" si="9"/>
        <v>145000</v>
      </c>
      <c r="N67" s="78">
        <f t="shared" si="9"/>
        <v>118000</v>
      </c>
      <c r="O67" s="78">
        <f t="shared" si="9"/>
        <v>0</v>
      </c>
      <c r="P67" s="78">
        <f t="shared" si="9"/>
        <v>138300</v>
      </c>
      <c r="Q67" s="77">
        <f t="shared" si="6"/>
        <v>25784650</v>
      </c>
      <c r="R67" s="60"/>
      <c r="T67" s="24"/>
    </row>
    <row r="68" spans="1:20" s="26" customFormat="1" ht="42" customHeight="1">
      <c r="A68" s="79" t="s">
        <v>159</v>
      </c>
      <c r="B68" s="79" t="s">
        <v>159</v>
      </c>
      <c r="C68" s="89"/>
      <c r="D68" s="86" t="str">
        <f>D67</f>
        <v>Управління  соціального захисту населення  міської ради</v>
      </c>
      <c r="E68" s="85"/>
      <c r="F68" s="87">
        <f>G68+J68</f>
        <v>25501350</v>
      </c>
      <c r="G68" s="87">
        <f>G69+G70+G71+G72+G73+G74+G75+G76+G77+G78+G79+G88+G90+G91+G92+G93+G94+G96+G97+G98+G99+G100+G101+G103+G104+G102+G108+G95+G105+G107</f>
        <v>25501350</v>
      </c>
      <c r="H68" s="87">
        <f t="shared" ref="H68:O68" si="10">H69+H70+H71+H72+H73+H74+H75+H76+H77+H78+H79+H88+H90+H91+H92+H93+H94+H96+H97+H98+H99+H100+H101+H103+H104+H102+H108+H95+H105+H107</f>
        <v>20564590</v>
      </c>
      <c r="I68" s="87">
        <f t="shared" si="10"/>
        <v>659850</v>
      </c>
      <c r="J68" s="87">
        <f t="shared" si="10"/>
        <v>0</v>
      </c>
      <c r="K68" s="87">
        <f>K69+K70+K71+K72+K73+K74+K75+K76+K77+K78+K79+K88+K90+K91+K92+K93+K94+K96+K97+K98+K99+K100+K101+K103+K104+K102+K108+K95+K105+K107+K106</f>
        <v>283300</v>
      </c>
      <c r="L68" s="87">
        <f>L69+L70+L71+L72+L73+L74+L75+L76+L77+L78+L79+L88+L90+L91+L92+L93+L94+L96+L97+L98+L99+L100+L101+L103+L104+L102+L108+L95+L105+L107+L106</f>
        <v>138300</v>
      </c>
      <c r="M68" s="87">
        <f t="shared" si="10"/>
        <v>145000</v>
      </c>
      <c r="N68" s="87">
        <f t="shared" si="10"/>
        <v>118000</v>
      </c>
      <c r="O68" s="87">
        <f t="shared" si="10"/>
        <v>0</v>
      </c>
      <c r="P68" s="87">
        <f>P69+P70+P71+P72+P73+P74+P75+P76+P77+P78+P79+P88+P90+P91+P92+P93+P94+P96+P97+P98+P99+P100+P101+P103+P104+P102+P108+P95+P105+P107+P106</f>
        <v>138300</v>
      </c>
      <c r="Q68" s="82">
        <f t="shared" si="6"/>
        <v>25784650</v>
      </c>
      <c r="T68" s="24"/>
    </row>
    <row r="69" spans="1:20" s="8" customFormat="1" ht="61.2" customHeight="1">
      <c r="A69" s="66" t="s">
        <v>160</v>
      </c>
      <c r="B69" s="66" t="s">
        <v>358</v>
      </c>
      <c r="C69" s="66" t="s">
        <v>61</v>
      </c>
      <c r="D69" s="117" t="s">
        <v>308</v>
      </c>
      <c r="E69" s="7" t="s">
        <v>2</v>
      </c>
      <c r="F69" s="4">
        <f t="shared" si="3"/>
        <v>14378300</v>
      </c>
      <c r="G69" s="12">
        <f>13767300+611000</f>
        <v>14378300</v>
      </c>
      <c r="H69" s="12">
        <f>13337590+611000</f>
        <v>13948590</v>
      </c>
      <c r="I69" s="12">
        <v>276650</v>
      </c>
      <c r="J69" s="12"/>
      <c r="K69" s="4">
        <f t="shared" ref="K69:K78" si="11">M69+P69</f>
        <v>0</v>
      </c>
      <c r="L69" s="4"/>
      <c r="M69" s="12"/>
      <c r="N69" s="12"/>
      <c r="O69" s="12"/>
      <c r="P69" s="12"/>
      <c r="Q69" s="4">
        <f t="shared" si="6"/>
        <v>14378300</v>
      </c>
      <c r="T69" s="22"/>
    </row>
    <row r="70" spans="1:20" s="8" customFormat="1" ht="40.950000000000003" customHeight="1">
      <c r="A70" s="66" t="s">
        <v>181</v>
      </c>
      <c r="B70" s="66" t="s">
        <v>280</v>
      </c>
      <c r="C70" s="66" t="s">
        <v>72</v>
      </c>
      <c r="D70" s="117" t="s">
        <v>139</v>
      </c>
      <c r="E70" s="7"/>
      <c r="F70" s="4">
        <f t="shared" si="3"/>
        <v>21300</v>
      </c>
      <c r="G70" s="12">
        <f>20300+1000</f>
        <v>21300</v>
      </c>
      <c r="H70" s="12"/>
      <c r="I70" s="12"/>
      <c r="J70" s="12"/>
      <c r="K70" s="4">
        <f t="shared" si="11"/>
        <v>0</v>
      </c>
      <c r="L70" s="4"/>
      <c r="M70" s="12"/>
      <c r="N70" s="12"/>
      <c r="O70" s="12"/>
      <c r="P70" s="12"/>
      <c r="Q70" s="4">
        <f t="shared" si="6"/>
        <v>21300</v>
      </c>
      <c r="T70" s="22"/>
    </row>
    <row r="71" spans="1:20" s="26" customFormat="1" ht="53.25" hidden="1" customHeight="1">
      <c r="A71" s="71" t="s">
        <v>161</v>
      </c>
      <c r="B71" s="66" t="s">
        <v>395</v>
      </c>
      <c r="C71" s="66" t="s">
        <v>78</v>
      </c>
      <c r="D71" s="119" t="s">
        <v>162</v>
      </c>
      <c r="E71" s="7" t="s">
        <v>29</v>
      </c>
      <c r="F71" s="41">
        <f t="shared" si="3"/>
        <v>0</v>
      </c>
      <c r="G71" s="42"/>
      <c r="H71" s="4"/>
      <c r="I71" s="4"/>
      <c r="J71" s="4"/>
      <c r="K71" s="4">
        <f t="shared" si="11"/>
        <v>0</v>
      </c>
      <c r="L71" s="4"/>
      <c r="M71" s="4"/>
      <c r="N71" s="4"/>
      <c r="O71" s="4"/>
      <c r="P71" s="4"/>
      <c r="Q71" s="4">
        <f t="shared" si="6"/>
        <v>0</v>
      </c>
      <c r="T71" s="24"/>
    </row>
    <row r="72" spans="1:20" s="26" customFormat="1" ht="40.5" hidden="1" customHeight="1">
      <c r="A72" s="71" t="s">
        <v>165</v>
      </c>
      <c r="B72" s="66" t="s">
        <v>396</v>
      </c>
      <c r="C72" s="66" t="s">
        <v>80</v>
      </c>
      <c r="D72" s="119" t="s">
        <v>105</v>
      </c>
      <c r="E72" s="7" t="s">
        <v>22</v>
      </c>
      <c r="F72" s="41">
        <f t="shared" ref="F72:F78" si="12">G72+J72</f>
        <v>0</v>
      </c>
      <c r="G72" s="42"/>
      <c r="H72" s="4"/>
      <c r="I72" s="4"/>
      <c r="J72" s="4"/>
      <c r="K72" s="4">
        <f t="shared" si="11"/>
        <v>0</v>
      </c>
      <c r="L72" s="4"/>
      <c r="M72" s="4"/>
      <c r="N72" s="4"/>
      <c r="O72" s="4"/>
      <c r="P72" s="4"/>
      <c r="Q72" s="4">
        <f>F72+K72</f>
        <v>0</v>
      </c>
      <c r="T72" s="24"/>
    </row>
    <row r="73" spans="1:20" s="26" customFormat="1" ht="64.5" hidden="1" customHeight="1">
      <c r="A73" s="71" t="s">
        <v>163</v>
      </c>
      <c r="B73" s="66" t="s">
        <v>397</v>
      </c>
      <c r="C73" s="66" t="s">
        <v>78</v>
      </c>
      <c r="D73" s="119" t="s">
        <v>164</v>
      </c>
      <c r="E73" s="28" t="s">
        <v>18</v>
      </c>
      <c r="F73" s="4">
        <f t="shared" si="12"/>
        <v>0</v>
      </c>
      <c r="G73" s="11"/>
      <c r="H73" s="4"/>
      <c r="I73" s="4"/>
      <c r="J73" s="4"/>
      <c r="K73" s="4">
        <f t="shared" si="11"/>
        <v>0</v>
      </c>
      <c r="L73" s="4"/>
      <c r="M73" s="4"/>
      <c r="N73" s="4"/>
      <c r="O73" s="4"/>
      <c r="P73" s="4"/>
      <c r="Q73" s="4">
        <f t="shared" si="6"/>
        <v>0</v>
      </c>
      <c r="T73" s="24"/>
    </row>
    <row r="74" spans="1:20" s="26" customFormat="1" ht="57" hidden="1" customHeight="1">
      <c r="A74" s="71" t="s">
        <v>166</v>
      </c>
      <c r="B74" s="66" t="s">
        <v>398</v>
      </c>
      <c r="C74" s="66" t="s">
        <v>80</v>
      </c>
      <c r="D74" s="119" t="s">
        <v>106</v>
      </c>
      <c r="E74" s="7" t="s">
        <v>43</v>
      </c>
      <c r="F74" s="4">
        <f t="shared" si="12"/>
        <v>0</v>
      </c>
      <c r="G74" s="11"/>
      <c r="H74" s="4"/>
      <c r="I74" s="4"/>
      <c r="J74" s="4"/>
      <c r="K74" s="4">
        <f t="shared" si="11"/>
        <v>0</v>
      </c>
      <c r="L74" s="4"/>
      <c r="M74" s="4"/>
      <c r="N74" s="4"/>
      <c r="O74" s="4"/>
      <c r="P74" s="4"/>
      <c r="Q74" s="4">
        <f>F74+K74</f>
        <v>0</v>
      </c>
      <c r="T74" s="24"/>
    </row>
    <row r="75" spans="1:20" s="26" customFormat="1" ht="33" hidden="1" customHeight="1">
      <c r="A75" s="66" t="s">
        <v>212</v>
      </c>
      <c r="B75" s="66" t="s">
        <v>399</v>
      </c>
      <c r="C75" s="66" t="s">
        <v>78</v>
      </c>
      <c r="D75" s="118" t="s">
        <v>218</v>
      </c>
      <c r="E75" s="7"/>
      <c r="F75" s="4">
        <f t="shared" si="12"/>
        <v>0</v>
      </c>
      <c r="G75" s="4"/>
      <c r="H75" s="4"/>
      <c r="I75" s="4"/>
      <c r="J75" s="4"/>
      <c r="K75" s="4">
        <f t="shared" si="11"/>
        <v>0</v>
      </c>
      <c r="L75" s="4"/>
      <c r="M75" s="4"/>
      <c r="N75" s="4"/>
      <c r="O75" s="4"/>
      <c r="P75" s="4"/>
      <c r="Q75" s="4">
        <f>F75+K75</f>
        <v>0</v>
      </c>
      <c r="T75" s="24"/>
    </row>
    <row r="76" spans="1:20" s="26" customFormat="1" ht="50.4" customHeight="1">
      <c r="A76" s="66" t="s">
        <v>213</v>
      </c>
      <c r="B76" s="66" t="s">
        <v>400</v>
      </c>
      <c r="C76" s="66" t="s">
        <v>79</v>
      </c>
      <c r="D76" s="118" t="s">
        <v>301</v>
      </c>
      <c r="E76" s="7"/>
      <c r="F76" s="4">
        <f t="shared" si="12"/>
        <v>450000</v>
      </c>
      <c r="G76" s="4">
        <v>450000</v>
      </c>
      <c r="H76" s="4"/>
      <c r="I76" s="4"/>
      <c r="J76" s="4"/>
      <c r="K76" s="4">
        <f t="shared" si="11"/>
        <v>0</v>
      </c>
      <c r="L76" s="4"/>
      <c r="M76" s="4"/>
      <c r="N76" s="4"/>
      <c r="O76" s="4"/>
      <c r="P76" s="4"/>
      <c r="Q76" s="4">
        <f>F76+K76</f>
        <v>450000</v>
      </c>
      <c r="T76" s="24"/>
    </row>
    <row r="77" spans="1:20" s="26" customFormat="1" ht="53.4" customHeight="1">
      <c r="A77" s="66" t="s">
        <v>214</v>
      </c>
      <c r="B77" s="66" t="s">
        <v>401</v>
      </c>
      <c r="C77" s="66" t="s">
        <v>79</v>
      </c>
      <c r="D77" s="118" t="s">
        <v>216</v>
      </c>
      <c r="E77" s="7"/>
      <c r="F77" s="4">
        <f t="shared" si="12"/>
        <v>1800000</v>
      </c>
      <c r="G77" s="4">
        <v>1800000</v>
      </c>
      <c r="H77" s="4"/>
      <c r="I77" s="4"/>
      <c r="J77" s="4"/>
      <c r="K77" s="4">
        <f t="shared" si="11"/>
        <v>0</v>
      </c>
      <c r="L77" s="4"/>
      <c r="M77" s="4"/>
      <c r="N77" s="4"/>
      <c r="O77" s="4"/>
      <c r="P77" s="4"/>
      <c r="Q77" s="4">
        <f>F77+K77</f>
        <v>1800000</v>
      </c>
      <c r="T77" s="24"/>
    </row>
    <row r="78" spans="1:20" s="26" customFormat="1" ht="60" customHeight="1">
      <c r="A78" s="66" t="s">
        <v>215</v>
      </c>
      <c r="B78" s="66" t="s">
        <v>402</v>
      </c>
      <c r="C78" s="66" t="s">
        <v>79</v>
      </c>
      <c r="D78" s="118" t="s">
        <v>217</v>
      </c>
      <c r="E78" s="7"/>
      <c r="F78" s="4">
        <f t="shared" si="12"/>
        <v>770000</v>
      </c>
      <c r="G78" s="4">
        <v>770000</v>
      </c>
      <c r="H78" s="4"/>
      <c r="I78" s="4"/>
      <c r="J78" s="4"/>
      <c r="K78" s="4">
        <f t="shared" si="11"/>
        <v>0</v>
      </c>
      <c r="L78" s="4"/>
      <c r="M78" s="4"/>
      <c r="N78" s="4"/>
      <c r="O78" s="4"/>
      <c r="P78" s="4"/>
      <c r="Q78" s="4">
        <f>F78+K78</f>
        <v>770000</v>
      </c>
      <c r="T78" s="24"/>
    </row>
    <row r="79" spans="1:20" s="26" customFormat="1" ht="40.5" hidden="1" customHeight="1">
      <c r="A79" s="65" t="s">
        <v>487</v>
      </c>
      <c r="B79" s="66"/>
      <c r="C79" s="27"/>
      <c r="D79" s="123"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4"/>
    </row>
    <row r="80" spans="1:20" s="26" customFormat="1" ht="40.5" hidden="1" customHeight="1">
      <c r="A80" s="66" t="s">
        <v>169</v>
      </c>
      <c r="B80" s="66" t="s">
        <v>403</v>
      </c>
      <c r="C80" s="66" t="s">
        <v>67</v>
      </c>
      <c r="D80" s="119" t="s">
        <v>98</v>
      </c>
      <c r="E80" s="7" t="s">
        <v>42</v>
      </c>
      <c r="F80" s="4">
        <f t="shared" si="13"/>
        <v>0</v>
      </c>
      <c r="G80" s="4"/>
      <c r="H80" s="4"/>
      <c r="I80" s="4"/>
      <c r="J80" s="4"/>
      <c r="K80" s="4">
        <f t="shared" ref="K80:K96" si="16">M80+P80</f>
        <v>0</v>
      </c>
      <c r="L80" s="4"/>
      <c r="M80" s="4"/>
      <c r="N80" s="4"/>
      <c r="O80" s="4"/>
      <c r="P80" s="4"/>
      <c r="Q80" s="4">
        <f t="shared" si="15"/>
        <v>0</v>
      </c>
      <c r="T80" s="24"/>
    </row>
    <row r="81" spans="1:20" s="26" customFormat="1" ht="40.5" hidden="1" customHeight="1">
      <c r="A81" s="66" t="s">
        <v>168</v>
      </c>
      <c r="B81" s="66" t="s">
        <v>404</v>
      </c>
      <c r="C81" s="66" t="s">
        <v>67</v>
      </c>
      <c r="D81" s="119" t="s">
        <v>103</v>
      </c>
      <c r="E81" s="7" t="s">
        <v>30</v>
      </c>
      <c r="F81" s="4">
        <f t="shared" si="13"/>
        <v>0</v>
      </c>
      <c r="G81" s="4"/>
      <c r="H81" s="4"/>
      <c r="I81" s="4"/>
      <c r="J81" s="4"/>
      <c r="K81" s="4">
        <f t="shared" si="16"/>
        <v>0</v>
      </c>
      <c r="L81" s="4"/>
      <c r="M81" s="4"/>
      <c r="N81" s="4"/>
      <c r="O81" s="4"/>
      <c r="P81" s="4"/>
      <c r="Q81" s="4">
        <f t="shared" si="15"/>
        <v>0</v>
      </c>
      <c r="T81" s="24"/>
    </row>
    <row r="82" spans="1:20" s="26" customFormat="1" ht="40.5" hidden="1" customHeight="1">
      <c r="A82" s="66" t="s">
        <v>170</v>
      </c>
      <c r="B82" s="66" t="s">
        <v>405</v>
      </c>
      <c r="C82" s="66" t="s">
        <v>67</v>
      </c>
      <c r="D82" s="119" t="s">
        <v>99</v>
      </c>
      <c r="E82" s="7" t="s">
        <v>25</v>
      </c>
      <c r="F82" s="4">
        <f t="shared" si="13"/>
        <v>0</v>
      </c>
      <c r="G82" s="4"/>
      <c r="H82" s="4"/>
      <c r="I82" s="4"/>
      <c r="J82" s="4"/>
      <c r="K82" s="4">
        <f t="shared" si="16"/>
        <v>0</v>
      </c>
      <c r="L82" s="4"/>
      <c r="M82" s="4"/>
      <c r="N82" s="4"/>
      <c r="O82" s="4"/>
      <c r="P82" s="4"/>
      <c r="Q82" s="4">
        <f t="shared" si="15"/>
        <v>0</v>
      </c>
      <c r="T82" s="24"/>
    </row>
    <row r="83" spans="1:20" s="26" customFormat="1" ht="40.5" hidden="1" customHeight="1">
      <c r="A83" s="66" t="s">
        <v>171</v>
      </c>
      <c r="B83" s="66" t="s">
        <v>406</v>
      </c>
      <c r="C83" s="66" t="s">
        <v>67</v>
      </c>
      <c r="D83" s="119" t="s">
        <v>100</v>
      </c>
      <c r="E83" s="7" t="s">
        <v>23</v>
      </c>
      <c r="F83" s="4">
        <f t="shared" si="13"/>
        <v>0</v>
      </c>
      <c r="G83" s="4"/>
      <c r="H83" s="4"/>
      <c r="I83" s="4"/>
      <c r="J83" s="4"/>
      <c r="K83" s="4">
        <f t="shared" si="16"/>
        <v>0</v>
      </c>
      <c r="L83" s="4"/>
      <c r="M83" s="4"/>
      <c r="N83" s="4"/>
      <c r="O83" s="4"/>
      <c r="P83" s="4"/>
      <c r="Q83" s="4">
        <f t="shared" si="15"/>
        <v>0</v>
      </c>
      <c r="T83" s="24"/>
    </row>
    <row r="84" spans="1:20" s="26" customFormat="1" ht="40.5" hidden="1" customHeight="1">
      <c r="A84" s="66" t="s">
        <v>172</v>
      </c>
      <c r="B84" s="66" t="s">
        <v>407</v>
      </c>
      <c r="C84" s="66" t="s">
        <v>67</v>
      </c>
      <c r="D84" s="119" t="s">
        <v>101</v>
      </c>
      <c r="E84" s="7" t="s">
        <v>31</v>
      </c>
      <c r="F84" s="4">
        <f t="shared" si="13"/>
        <v>0</v>
      </c>
      <c r="G84" s="4"/>
      <c r="H84" s="4"/>
      <c r="I84" s="4"/>
      <c r="J84" s="4"/>
      <c r="K84" s="4">
        <f t="shared" si="16"/>
        <v>0</v>
      </c>
      <c r="L84" s="4"/>
      <c r="M84" s="4"/>
      <c r="N84" s="4"/>
      <c r="O84" s="4"/>
      <c r="P84" s="4"/>
      <c r="Q84" s="4">
        <f t="shared" si="15"/>
        <v>0</v>
      </c>
      <c r="T84" s="24"/>
    </row>
    <row r="85" spans="1:20" s="26" customFormat="1" ht="40.5" hidden="1" customHeight="1">
      <c r="A85" s="66" t="s">
        <v>173</v>
      </c>
      <c r="B85" s="66" t="s">
        <v>408</v>
      </c>
      <c r="C85" s="66" t="s">
        <v>67</v>
      </c>
      <c r="D85" s="119" t="s">
        <v>102</v>
      </c>
      <c r="E85" s="7" t="s">
        <v>17</v>
      </c>
      <c r="F85" s="4">
        <f t="shared" si="13"/>
        <v>0</v>
      </c>
      <c r="G85" s="4"/>
      <c r="H85" s="4"/>
      <c r="I85" s="4"/>
      <c r="J85" s="4"/>
      <c r="K85" s="4">
        <f t="shared" si="16"/>
        <v>0</v>
      </c>
      <c r="L85" s="4"/>
      <c r="M85" s="4"/>
      <c r="N85" s="4"/>
      <c r="O85" s="4"/>
      <c r="P85" s="4"/>
      <c r="Q85" s="4">
        <f t="shared" si="15"/>
        <v>0</v>
      </c>
      <c r="T85" s="24"/>
    </row>
    <row r="86" spans="1:20" s="26" customFormat="1" ht="40.5" hidden="1" customHeight="1">
      <c r="A86" s="66" t="s">
        <v>174</v>
      </c>
      <c r="B86" s="66" t="s">
        <v>409</v>
      </c>
      <c r="C86" s="66" t="s">
        <v>67</v>
      </c>
      <c r="D86" s="119" t="s">
        <v>104</v>
      </c>
      <c r="E86" s="7" t="s">
        <v>24</v>
      </c>
      <c r="F86" s="4">
        <f t="shared" si="13"/>
        <v>0</v>
      </c>
      <c r="G86" s="4"/>
      <c r="H86" s="4"/>
      <c r="I86" s="4"/>
      <c r="J86" s="4"/>
      <c r="K86" s="4">
        <f t="shared" si="16"/>
        <v>0</v>
      </c>
      <c r="L86" s="4"/>
      <c r="M86" s="4"/>
      <c r="N86" s="4"/>
      <c r="O86" s="4"/>
      <c r="P86" s="4"/>
      <c r="Q86" s="4">
        <f t="shared" si="15"/>
        <v>0</v>
      </c>
      <c r="T86" s="24"/>
    </row>
    <row r="87" spans="1:20" s="26" customFormat="1" ht="40.5" hidden="1" customHeight="1">
      <c r="A87" s="66" t="s">
        <v>331</v>
      </c>
      <c r="B87" s="66" t="s">
        <v>410</v>
      </c>
      <c r="C87" s="66" t="s">
        <v>67</v>
      </c>
      <c r="D87" s="119" t="s">
        <v>332</v>
      </c>
      <c r="E87" s="7"/>
      <c r="F87" s="4">
        <f t="shared" si="13"/>
        <v>0</v>
      </c>
      <c r="G87" s="4"/>
      <c r="H87" s="4"/>
      <c r="I87" s="4"/>
      <c r="J87" s="4"/>
      <c r="K87" s="4"/>
      <c r="L87" s="4"/>
      <c r="M87" s="4"/>
      <c r="N87" s="4"/>
      <c r="O87" s="4"/>
      <c r="P87" s="4"/>
      <c r="Q87" s="4">
        <f t="shared" si="15"/>
        <v>0</v>
      </c>
      <c r="T87" s="24"/>
    </row>
    <row r="88" spans="1:20" s="26" customFormat="1" ht="57" customHeight="1">
      <c r="A88" s="66" t="s">
        <v>167</v>
      </c>
      <c r="B88" s="66" t="s">
        <v>411</v>
      </c>
      <c r="C88" s="66" t="s">
        <v>79</v>
      </c>
      <c r="D88" s="119" t="s">
        <v>97</v>
      </c>
      <c r="E88" s="7" t="s">
        <v>58</v>
      </c>
      <c r="F88" s="4">
        <f t="shared" ref="F88:F95" si="17">G88+J88</f>
        <v>88900</v>
      </c>
      <c r="G88" s="4">
        <v>88900</v>
      </c>
      <c r="H88" s="4"/>
      <c r="I88" s="4"/>
      <c r="J88" s="4"/>
      <c r="K88" s="4">
        <f t="shared" ref="K88:K94" si="18">M88+P88</f>
        <v>0</v>
      </c>
      <c r="L88" s="4"/>
      <c r="M88" s="4"/>
      <c r="N88" s="4"/>
      <c r="O88" s="4"/>
      <c r="P88" s="4"/>
      <c r="Q88" s="4">
        <f t="shared" ref="Q88:Q95" si="19">F88+K88</f>
        <v>88900</v>
      </c>
      <c r="T88" s="24"/>
    </row>
    <row r="89" spans="1:20" s="26" customFormat="1" ht="194.25" hidden="1" customHeight="1">
      <c r="A89" s="66" t="s">
        <v>175</v>
      </c>
      <c r="B89" s="66" t="s">
        <v>412</v>
      </c>
      <c r="C89" s="65"/>
      <c r="D89" s="38" t="s">
        <v>328</v>
      </c>
      <c r="E89" s="7" t="s">
        <v>51</v>
      </c>
      <c r="F89" s="4">
        <f t="shared" si="17"/>
        <v>0</v>
      </c>
      <c r="G89" s="4">
        <f>G90+G91+G92+G93+G94+G95</f>
        <v>0</v>
      </c>
      <c r="H89" s="12"/>
      <c r="I89" s="12"/>
      <c r="J89" s="12"/>
      <c r="K89" s="4">
        <f t="shared" si="18"/>
        <v>0</v>
      </c>
      <c r="L89" s="4"/>
      <c r="M89" s="12"/>
      <c r="N89" s="4"/>
      <c r="O89" s="12"/>
      <c r="P89" s="12"/>
      <c r="Q89" s="4">
        <f t="shared" si="19"/>
        <v>0</v>
      </c>
      <c r="T89" s="24"/>
    </row>
    <row r="90" spans="1:20" s="26" customFormat="1" ht="45.75" hidden="1" customHeight="1">
      <c r="A90" s="66" t="s">
        <v>240</v>
      </c>
      <c r="B90" s="66" t="s">
        <v>413</v>
      </c>
      <c r="C90" s="66" t="s">
        <v>81</v>
      </c>
      <c r="D90" s="38" t="s">
        <v>245</v>
      </c>
      <c r="E90" s="7"/>
      <c r="F90" s="4">
        <f t="shared" si="17"/>
        <v>0</v>
      </c>
      <c r="G90" s="4"/>
      <c r="H90" s="12"/>
      <c r="I90" s="12"/>
      <c r="J90" s="12"/>
      <c r="K90" s="4">
        <f t="shared" si="18"/>
        <v>0</v>
      </c>
      <c r="L90" s="4"/>
      <c r="M90" s="12"/>
      <c r="N90" s="4"/>
      <c r="O90" s="12"/>
      <c r="P90" s="12"/>
      <c r="Q90" s="4">
        <f t="shared" si="19"/>
        <v>0</v>
      </c>
      <c r="T90" s="24"/>
    </row>
    <row r="91" spans="1:20" s="26" customFormat="1" ht="65.400000000000006" hidden="1" customHeight="1">
      <c r="A91" s="66" t="s">
        <v>241</v>
      </c>
      <c r="B91" s="66" t="s">
        <v>414</v>
      </c>
      <c r="C91" s="66" t="s">
        <v>81</v>
      </c>
      <c r="D91" s="38" t="s">
        <v>246</v>
      </c>
      <c r="E91" s="7"/>
      <c r="F91" s="4">
        <f t="shared" si="17"/>
        <v>0</v>
      </c>
      <c r="G91" s="4"/>
      <c r="H91" s="12"/>
      <c r="I91" s="12"/>
      <c r="J91" s="12"/>
      <c r="K91" s="4">
        <f t="shared" si="18"/>
        <v>0</v>
      </c>
      <c r="L91" s="4"/>
      <c r="M91" s="12"/>
      <c r="N91" s="4"/>
      <c r="O91" s="12"/>
      <c r="P91" s="12"/>
      <c r="Q91" s="4">
        <f t="shared" si="19"/>
        <v>0</v>
      </c>
      <c r="T91" s="24"/>
    </row>
    <row r="92" spans="1:20" s="26" customFormat="1" ht="45.6" hidden="1" customHeight="1">
      <c r="A92" s="66" t="s">
        <v>242</v>
      </c>
      <c r="B92" s="66" t="s">
        <v>415</v>
      </c>
      <c r="C92" s="66" t="s">
        <v>81</v>
      </c>
      <c r="D92" s="38" t="s">
        <v>247</v>
      </c>
      <c r="E92" s="7"/>
      <c r="F92" s="4">
        <f t="shared" si="17"/>
        <v>0</v>
      </c>
      <c r="G92" s="4"/>
      <c r="H92" s="12"/>
      <c r="I92" s="12"/>
      <c r="J92" s="12"/>
      <c r="K92" s="4">
        <f t="shared" si="18"/>
        <v>0</v>
      </c>
      <c r="L92" s="4"/>
      <c r="M92" s="12"/>
      <c r="N92" s="4"/>
      <c r="O92" s="12"/>
      <c r="P92" s="12"/>
      <c r="Q92" s="4">
        <f t="shared" si="19"/>
        <v>0</v>
      </c>
      <c r="T92" s="24"/>
    </row>
    <row r="93" spans="1:20" s="26" customFormat="1" ht="68.25" hidden="1" customHeight="1">
      <c r="A93" s="66" t="s">
        <v>243</v>
      </c>
      <c r="B93" s="66" t="s">
        <v>416</v>
      </c>
      <c r="C93" s="66" t="s">
        <v>81</v>
      </c>
      <c r="D93" s="38" t="s">
        <v>248</v>
      </c>
      <c r="E93" s="7"/>
      <c r="F93" s="4">
        <f t="shared" si="17"/>
        <v>0</v>
      </c>
      <c r="G93" s="4"/>
      <c r="H93" s="12"/>
      <c r="I93" s="12"/>
      <c r="J93" s="12"/>
      <c r="K93" s="4">
        <f t="shared" si="18"/>
        <v>0</v>
      </c>
      <c r="L93" s="4"/>
      <c r="M93" s="12"/>
      <c r="N93" s="4"/>
      <c r="O93" s="12"/>
      <c r="P93" s="12"/>
      <c r="Q93" s="4">
        <f t="shared" si="19"/>
        <v>0</v>
      </c>
      <c r="T93" s="24"/>
    </row>
    <row r="94" spans="1:20" s="26" customFormat="1" ht="81" hidden="1" customHeight="1">
      <c r="A94" s="66" t="s">
        <v>244</v>
      </c>
      <c r="B94" s="66" t="s">
        <v>417</v>
      </c>
      <c r="C94" s="66" t="s">
        <v>81</v>
      </c>
      <c r="D94" s="38" t="s">
        <v>249</v>
      </c>
      <c r="E94" s="7"/>
      <c r="F94" s="4">
        <f t="shared" si="17"/>
        <v>0</v>
      </c>
      <c r="G94" s="4"/>
      <c r="H94" s="12"/>
      <c r="I94" s="12"/>
      <c r="J94" s="12"/>
      <c r="K94" s="4">
        <f t="shared" si="18"/>
        <v>0</v>
      </c>
      <c r="L94" s="4"/>
      <c r="M94" s="12"/>
      <c r="N94" s="4"/>
      <c r="O94" s="12"/>
      <c r="P94" s="12"/>
      <c r="Q94" s="4">
        <f t="shared" si="19"/>
        <v>0</v>
      </c>
      <c r="T94" s="24"/>
    </row>
    <row r="95" spans="1:20" s="26" customFormat="1" ht="43.5" hidden="1" customHeight="1">
      <c r="A95" s="66" t="s">
        <v>329</v>
      </c>
      <c r="B95" s="66" t="s">
        <v>418</v>
      </c>
      <c r="C95" s="66"/>
      <c r="D95" s="38" t="s">
        <v>330</v>
      </c>
      <c r="E95" s="7"/>
      <c r="F95" s="4">
        <f t="shared" si="17"/>
        <v>0</v>
      </c>
      <c r="G95" s="4"/>
      <c r="H95" s="12"/>
      <c r="I95" s="12"/>
      <c r="J95" s="12"/>
      <c r="K95" s="4"/>
      <c r="L95" s="4"/>
      <c r="M95" s="12"/>
      <c r="N95" s="4"/>
      <c r="O95" s="12"/>
      <c r="P95" s="12"/>
      <c r="Q95" s="4">
        <f t="shared" si="19"/>
        <v>0</v>
      </c>
      <c r="T95" s="24"/>
    </row>
    <row r="96" spans="1:20" s="26" customFormat="1" ht="46.2" customHeight="1">
      <c r="A96" s="66" t="s">
        <v>176</v>
      </c>
      <c r="B96" s="66" t="s">
        <v>419</v>
      </c>
      <c r="C96" s="66" t="s">
        <v>78</v>
      </c>
      <c r="D96" s="119" t="s">
        <v>228</v>
      </c>
      <c r="E96" s="7" t="s">
        <v>32</v>
      </c>
      <c r="F96" s="4">
        <f>G96+J96</f>
        <v>73100</v>
      </c>
      <c r="G96" s="4">
        <v>73100</v>
      </c>
      <c r="H96" s="4"/>
      <c r="I96" s="4"/>
      <c r="J96" s="4"/>
      <c r="K96" s="4">
        <f t="shared" si="16"/>
        <v>0</v>
      </c>
      <c r="L96" s="4"/>
      <c r="M96" s="4"/>
      <c r="N96" s="4"/>
      <c r="O96" s="4"/>
      <c r="P96" s="4"/>
      <c r="Q96" s="4">
        <f t="shared" si="15"/>
        <v>73100</v>
      </c>
      <c r="T96" s="24"/>
    </row>
    <row r="97" spans="1:20" s="8" customFormat="1" ht="75.599999999999994" customHeight="1">
      <c r="A97" s="66" t="s">
        <v>178</v>
      </c>
      <c r="B97" s="66" t="s">
        <v>420</v>
      </c>
      <c r="C97" s="66" t="s">
        <v>82</v>
      </c>
      <c r="D97" s="119" t="s">
        <v>107</v>
      </c>
      <c r="E97" s="7" t="s">
        <v>57</v>
      </c>
      <c r="F97" s="4">
        <f t="shared" ref="F97:F103" si="20">G97+J97</f>
        <v>5812100</v>
      </c>
      <c r="G97" s="4">
        <f>5672500+54100+85500</f>
        <v>5812100</v>
      </c>
      <c r="H97" s="12">
        <v>5364000</v>
      </c>
      <c r="I97" s="12">
        <v>212600</v>
      </c>
      <c r="J97" s="12"/>
      <c r="K97" s="4">
        <f t="shared" ref="K97:K108" si="21">M97+P97</f>
        <v>145000</v>
      </c>
      <c r="L97" s="4"/>
      <c r="M97" s="12">
        <v>145000</v>
      </c>
      <c r="N97" s="4">
        <v>118000</v>
      </c>
      <c r="O97" s="12"/>
      <c r="P97" s="12"/>
      <c r="Q97" s="4">
        <f t="shared" ref="Q97:Q108" si="22">F97+K97</f>
        <v>5957100</v>
      </c>
      <c r="T97" s="22"/>
    </row>
    <row r="98" spans="1:20" s="8" customFormat="1" ht="36" customHeight="1">
      <c r="A98" s="66" t="s">
        <v>179</v>
      </c>
      <c r="B98" s="66" t="s">
        <v>421</v>
      </c>
      <c r="C98" s="66" t="s">
        <v>81</v>
      </c>
      <c r="D98" s="119" t="s">
        <v>229</v>
      </c>
      <c r="E98" s="6" t="s">
        <v>27</v>
      </c>
      <c r="F98" s="4">
        <f t="shared" si="20"/>
        <v>1420300</v>
      </c>
      <c r="G98" s="4">
        <v>1420300</v>
      </c>
      <c r="H98" s="12">
        <v>1187000</v>
      </c>
      <c r="I98" s="12">
        <v>170600</v>
      </c>
      <c r="J98" s="12"/>
      <c r="K98" s="4">
        <f t="shared" si="21"/>
        <v>0</v>
      </c>
      <c r="L98" s="4"/>
      <c r="M98" s="12"/>
      <c r="N98" s="4"/>
      <c r="O98" s="12"/>
      <c r="P98" s="12"/>
      <c r="Q98" s="4">
        <f t="shared" si="22"/>
        <v>1420300</v>
      </c>
      <c r="T98" s="22"/>
    </row>
    <row r="99" spans="1:20" s="8" customFormat="1" ht="114.6" customHeight="1">
      <c r="A99" s="66" t="s">
        <v>258</v>
      </c>
      <c r="B99" s="66" t="s">
        <v>422</v>
      </c>
      <c r="C99" s="66" t="s">
        <v>81</v>
      </c>
      <c r="D99" s="124" t="s">
        <v>259</v>
      </c>
      <c r="E99" s="6"/>
      <c r="F99" s="4">
        <f t="shared" si="20"/>
        <v>345000</v>
      </c>
      <c r="G99" s="4">
        <v>345000</v>
      </c>
      <c r="H99" s="12"/>
      <c r="I99" s="12"/>
      <c r="J99" s="12"/>
      <c r="K99" s="4">
        <f t="shared" si="21"/>
        <v>0</v>
      </c>
      <c r="L99" s="4"/>
      <c r="M99" s="12"/>
      <c r="N99" s="4"/>
      <c r="O99" s="12"/>
      <c r="P99" s="12"/>
      <c r="Q99" s="4">
        <f t="shared" si="22"/>
        <v>345000</v>
      </c>
      <c r="T99" s="22"/>
    </row>
    <row r="100" spans="1:20" s="8" customFormat="1" ht="102" customHeight="1">
      <c r="A100" s="66" t="s">
        <v>230</v>
      </c>
      <c r="B100" s="66" t="s">
        <v>423</v>
      </c>
      <c r="C100" s="66" t="s">
        <v>80</v>
      </c>
      <c r="D100" s="119" t="s">
        <v>231</v>
      </c>
      <c r="E100" s="7" t="s">
        <v>3</v>
      </c>
      <c r="F100" s="4">
        <f t="shared" si="20"/>
        <v>112000</v>
      </c>
      <c r="G100" s="4">
        <v>112000</v>
      </c>
      <c r="H100" s="12"/>
      <c r="I100" s="12"/>
      <c r="J100" s="12"/>
      <c r="K100" s="4">
        <f t="shared" si="21"/>
        <v>0</v>
      </c>
      <c r="L100" s="4"/>
      <c r="M100" s="12"/>
      <c r="N100" s="4"/>
      <c r="O100" s="12"/>
      <c r="P100" s="12"/>
      <c r="Q100" s="4">
        <f t="shared" si="22"/>
        <v>112000</v>
      </c>
      <c r="T100" s="22"/>
    </row>
    <row r="101" spans="1:20" s="8" customFormat="1" ht="71.400000000000006" customHeight="1">
      <c r="A101" s="66" t="s">
        <v>232</v>
      </c>
      <c r="B101" s="66" t="s">
        <v>424</v>
      </c>
      <c r="C101" s="66" t="s">
        <v>78</v>
      </c>
      <c r="D101" s="119" t="s">
        <v>233</v>
      </c>
      <c r="E101" s="7" t="s">
        <v>52</v>
      </c>
      <c r="F101" s="4">
        <f t="shared" si="20"/>
        <v>80000</v>
      </c>
      <c r="G101" s="4">
        <v>80000</v>
      </c>
      <c r="H101" s="12"/>
      <c r="I101" s="12"/>
      <c r="J101" s="12"/>
      <c r="K101" s="4">
        <f t="shared" si="21"/>
        <v>0</v>
      </c>
      <c r="L101" s="4"/>
      <c r="M101" s="12"/>
      <c r="N101" s="4"/>
      <c r="O101" s="12"/>
      <c r="P101" s="12"/>
      <c r="Q101" s="4">
        <f t="shared" si="22"/>
        <v>80000</v>
      </c>
      <c r="T101" s="22"/>
    </row>
    <row r="102" spans="1:20" s="8" customFormat="1" ht="33.6" customHeight="1">
      <c r="A102" s="66" t="s">
        <v>313</v>
      </c>
      <c r="B102" s="66" t="s">
        <v>425</v>
      </c>
      <c r="C102" s="66" t="s">
        <v>312</v>
      </c>
      <c r="D102" s="119" t="s">
        <v>311</v>
      </c>
      <c r="E102" s="7"/>
      <c r="F102" s="4">
        <f t="shared" si="20"/>
        <v>65000</v>
      </c>
      <c r="G102" s="4">
        <v>65000</v>
      </c>
      <c r="H102" s="12">
        <v>65000</v>
      </c>
      <c r="I102" s="12"/>
      <c r="J102" s="12"/>
      <c r="K102" s="4">
        <f t="shared" si="21"/>
        <v>0</v>
      </c>
      <c r="L102" s="4"/>
      <c r="M102" s="12"/>
      <c r="N102" s="4"/>
      <c r="O102" s="12"/>
      <c r="P102" s="12"/>
      <c r="Q102" s="4">
        <f t="shared" si="22"/>
        <v>65000</v>
      </c>
      <c r="T102" s="22"/>
    </row>
    <row r="103" spans="1:20" s="8" customFormat="1" ht="175.2" hidden="1" customHeight="1">
      <c r="A103" s="71" t="s">
        <v>177</v>
      </c>
      <c r="B103" s="66" t="s">
        <v>426</v>
      </c>
      <c r="C103" s="66" t="s">
        <v>67</v>
      </c>
      <c r="D103" s="125" t="s">
        <v>300</v>
      </c>
      <c r="E103" s="7" t="s">
        <v>53</v>
      </c>
      <c r="F103" s="4">
        <f t="shared" si="20"/>
        <v>0</v>
      </c>
      <c r="G103" s="11"/>
      <c r="H103" s="4"/>
      <c r="I103" s="4"/>
      <c r="J103" s="4"/>
      <c r="K103" s="4">
        <f t="shared" si="21"/>
        <v>0</v>
      </c>
      <c r="L103" s="4"/>
      <c r="M103" s="4"/>
      <c r="N103" s="4"/>
      <c r="O103" s="4"/>
      <c r="P103" s="4"/>
      <c r="Q103" s="4">
        <f t="shared" si="22"/>
        <v>0</v>
      </c>
      <c r="T103" s="22"/>
    </row>
    <row r="104" spans="1:20" s="8" customFormat="1" ht="33.6" hidden="1" customHeight="1">
      <c r="A104" s="66" t="s">
        <v>251</v>
      </c>
      <c r="B104" s="66" t="s">
        <v>374</v>
      </c>
      <c r="C104" s="66" t="s">
        <v>66</v>
      </c>
      <c r="D104" s="118" t="s">
        <v>225</v>
      </c>
      <c r="E104" s="7"/>
      <c r="F104" s="4">
        <f>G104</f>
        <v>0</v>
      </c>
      <c r="G104" s="4"/>
      <c r="H104" s="12"/>
      <c r="I104" s="12"/>
      <c r="J104" s="12"/>
      <c r="K104" s="4">
        <f t="shared" si="21"/>
        <v>0</v>
      </c>
      <c r="L104" s="4"/>
      <c r="M104" s="12"/>
      <c r="N104" s="4"/>
      <c r="O104" s="12"/>
      <c r="P104" s="12"/>
      <c r="Q104" s="4">
        <f t="shared" si="22"/>
        <v>0</v>
      </c>
      <c r="T104" s="22"/>
    </row>
    <row r="105" spans="1:20" s="8" customFormat="1" ht="95.25" hidden="1" customHeight="1">
      <c r="A105" s="66" t="s">
        <v>341</v>
      </c>
      <c r="B105" s="66" t="s">
        <v>376</v>
      </c>
      <c r="C105" s="66" t="s">
        <v>318</v>
      </c>
      <c r="D105" s="118" t="s">
        <v>342</v>
      </c>
      <c r="E105" s="7"/>
      <c r="F105" s="4">
        <f>G105</f>
        <v>0</v>
      </c>
      <c r="G105" s="4"/>
      <c r="H105" s="12"/>
      <c r="I105" s="12"/>
      <c r="J105" s="12"/>
      <c r="K105" s="4">
        <f t="shared" si="21"/>
        <v>0</v>
      </c>
      <c r="L105" s="4"/>
      <c r="M105" s="12"/>
      <c r="N105" s="4"/>
      <c r="O105" s="12"/>
      <c r="P105" s="12">
        <f>L105</f>
        <v>0</v>
      </c>
      <c r="Q105" s="4">
        <f t="shared" si="22"/>
        <v>0</v>
      </c>
      <c r="T105" s="22"/>
    </row>
    <row r="106" spans="1:20" s="8" customFormat="1" ht="50.25" customHeight="1">
      <c r="A106" s="66" t="s">
        <v>512</v>
      </c>
      <c r="B106" s="66" t="s">
        <v>513</v>
      </c>
      <c r="C106" s="66" t="s">
        <v>83</v>
      </c>
      <c r="D106" s="118" t="s">
        <v>514</v>
      </c>
      <c r="E106" s="13"/>
      <c r="F106" s="4"/>
      <c r="G106" s="48"/>
      <c r="H106" s="49"/>
      <c r="I106" s="49"/>
      <c r="J106" s="49"/>
      <c r="K106" s="4">
        <f t="shared" si="21"/>
        <v>126000</v>
      </c>
      <c r="L106" s="48">
        <f>126000</f>
        <v>126000</v>
      </c>
      <c r="M106" s="49"/>
      <c r="N106" s="48"/>
      <c r="O106" s="49"/>
      <c r="P106" s="49">
        <v>126000</v>
      </c>
      <c r="Q106" s="4">
        <f t="shared" si="22"/>
        <v>126000</v>
      </c>
      <c r="T106" s="22"/>
    </row>
    <row r="107" spans="1:20" s="8" customFormat="1" ht="44.4" customHeight="1">
      <c r="A107" s="66" t="s">
        <v>473</v>
      </c>
      <c r="B107" s="66" t="s">
        <v>465</v>
      </c>
      <c r="C107" s="66" t="s">
        <v>466</v>
      </c>
      <c r="D107" s="119" t="s">
        <v>467</v>
      </c>
      <c r="E107" s="13"/>
      <c r="F107" s="4">
        <f>G107+J107</f>
        <v>85350</v>
      </c>
      <c r="G107" s="48">
        <v>85350</v>
      </c>
      <c r="H107" s="49"/>
      <c r="I107" s="49"/>
      <c r="J107" s="49"/>
      <c r="K107" s="4">
        <f t="shared" si="21"/>
        <v>12300</v>
      </c>
      <c r="L107" s="48">
        <v>12300</v>
      </c>
      <c r="M107" s="48"/>
      <c r="N107" s="48"/>
      <c r="O107" s="49"/>
      <c r="P107" s="49">
        <v>12300</v>
      </c>
      <c r="Q107" s="4">
        <f>F107+K107</f>
        <v>97650</v>
      </c>
      <c r="T107" s="22"/>
    </row>
    <row r="108" spans="1:20" s="8" customFormat="1" ht="30" hidden="1" customHeight="1">
      <c r="A108" s="66" t="s">
        <v>327</v>
      </c>
      <c r="B108" s="66" t="s">
        <v>380</v>
      </c>
      <c r="C108" s="66" t="s">
        <v>86</v>
      </c>
      <c r="D108" s="37" t="s">
        <v>141</v>
      </c>
      <c r="E108" s="7"/>
      <c r="F108" s="4">
        <f>G108</f>
        <v>0</v>
      </c>
      <c r="G108" s="4"/>
      <c r="H108" s="12"/>
      <c r="I108" s="12"/>
      <c r="J108" s="12"/>
      <c r="K108" s="4">
        <f t="shared" si="21"/>
        <v>0</v>
      </c>
      <c r="L108" s="4"/>
      <c r="M108" s="12"/>
      <c r="N108" s="4"/>
      <c r="O108" s="12"/>
      <c r="P108" s="12"/>
      <c r="Q108" s="4">
        <f t="shared" si="22"/>
        <v>0</v>
      </c>
      <c r="T108" s="22"/>
    </row>
    <row r="109" spans="1:20" s="91" customFormat="1" ht="47.4" customHeight="1">
      <c r="A109" s="74" t="s">
        <v>87</v>
      </c>
      <c r="B109" s="74" t="s">
        <v>87</v>
      </c>
      <c r="C109" s="88"/>
      <c r="D109" s="84" t="s">
        <v>35</v>
      </c>
      <c r="E109" s="83" t="s">
        <v>35</v>
      </c>
      <c r="F109" s="77">
        <f>F110</f>
        <v>27205289</v>
      </c>
      <c r="G109" s="77">
        <f t="shared" ref="G109:P109" si="23">G110</f>
        <v>27205289</v>
      </c>
      <c r="H109" s="78">
        <f t="shared" si="23"/>
        <v>20741650</v>
      </c>
      <c r="I109" s="78">
        <f t="shared" si="23"/>
        <v>1941100</v>
      </c>
      <c r="J109" s="78">
        <f t="shared" si="23"/>
        <v>0</v>
      </c>
      <c r="K109" s="77">
        <f t="shared" si="23"/>
        <v>1220500</v>
      </c>
      <c r="L109" s="77">
        <f t="shared" si="23"/>
        <v>579500</v>
      </c>
      <c r="M109" s="78">
        <f t="shared" si="23"/>
        <v>641000</v>
      </c>
      <c r="N109" s="78">
        <f t="shared" si="23"/>
        <v>169050</v>
      </c>
      <c r="O109" s="78">
        <f t="shared" si="23"/>
        <v>0</v>
      </c>
      <c r="P109" s="78">
        <f t="shared" si="23"/>
        <v>579500</v>
      </c>
      <c r="Q109" s="78">
        <f>Q110</f>
        <v>28425789</v>
      </c>
      <c r="R109" s="90"/>
      <c r="T109" s="92"/>
    </row>
    <row r="110" spans="1:20" s="91" customFormat="1" ht="43.95" customHeight="1">
      <c r="A110" s="79" t="s">
        <v>144</v>
      </c>
      <c r="B110" s="79" t="s">
        <v>427</v>
      </c>
      <c r="C110" s="89"/>
      <c r="D110" s="86" t="str">
        <f>D109</f>
        <v>Управління культури і туризму міської ради</v>
      </c>
      <c r="E110" s="85"/>
      <c r="F110" s="87">
        <f>SUM(F111:F120)</f>
        <v>27205289</v>
      </c>
      <c r="G110" s="87">
        <f t="shared" ref="G110:P110" si="24">SUM(G111:G120)</f>
        <v>27205289</v>
      </c>
      <c r="H110" s="87">
        <f t="shared" si="24"/>
        <v>20741650</v>
      </c>
      <c r="I110" s="87">
        <f t="shared" si="24"/>
        <v>1941100</v>
      </c>
      <c r="J110" s="87">
        <f t="shared" si="24"/>
        <v>0</v>
      </c>
      <c r="K110" s="87">
        <f t="shared" si="24"/>
        <v>1220500</v>
      </c>
      <c r="L110" s="87">
        <f t="shared" si="24"/>
        <v>579500</v>
      </c>
      <c r="M110" s="87">
        <f t="shared" si="24"/>
        <v>641000</v>
      </c>
      <c r="N110" s="87">
        <f t="shared" si="24"/>
        <v>169050</v>
      </c>
      <c r="O110" s="87">
        <f t="shared" si="24"/>
        <v>0</v>
      </c>
      <c r="P110" s="87">
        <f t="shared" si="24"/>
        <v>579500</v>
      </c>
      <c r="Q110" s="82">
        <f t="shared" ref="Q110:Q131" si="25">F110+K110</f>
        <v>28425789</v>
      </c>
      <c r="T110" s="92"/>
    </row>
    <row r="111" spans="1:20" s="26" customFormat="1" ht="85.5" customHeight="1">
      <c r="A111" s="66" t="s">
        <v>182</v>
      </c>
      <c r="B111" s="66" t="s">
        <v>358</v>
      </c>
      <c r="C111" s="66" t="s">
        <v>61</v>
      </c>
      <c r="D111" s="117" t="s">
        <v>308</v>
      </c>
      <c r="E111" s="7" t="s">
        <v>2</v>
      </c>
      <c r="F111" s="4">
        <f t="shared" ref="F111:F120" si="26">G111+J111</f>
        <v>1532700</v>
      </c>
      <c r="G111" s="4">
        <f>1532700</f>
        <v>1532700</v>
      </c>
      <c r="H111" s="12">
        <f>1485000</f>
        <v>1485000</v>
      </c>
      <c r="I111" s="12">
        <v>24400</v>
      </c>
      <c r="J111" s="12"/>
      <c r="K111" s="4">
        <f t="shared" ref="K111:K120" si="27">M111+P111</f>
        <v>0</v>
      </c>
      <c r="L111" s="4"/>
      <c r="M111" s="12"/>
      <c r="N111" s="4"/>
      <c r="O111" s="12"/>
      <c r="P111" s="12">
        <f>L111</f>
        <v>0</v>
      </c>
      <c r="Q111" s="4">
        <f t="shared" si="25"/>
        <v>1532700</v>
      </c>
      <c r="T111" s="24"/>
    </row>
    <row r="112" spans="1:20" s="26" customFormat="1" ht="35.25" customHeight="1">
      <c r="A112" s="66" t="s">
        <v>252</v>
      </c>
      <c r="B112" s="66" t="s">
        <v>280</v>
      </c>
      <c r="C112" s="66" t="s">
        <v>72</v>
      </c>
      <c r="D112" s="117" t="s">
        <v>139</v>
      </c>
      <c r="E112" s="7"/>
      <c r="F112" s="4">
        <f t="shared" si="26"/>
        <v>25000</v>
      </c>
      <c r="G112" s="4">
        <f>20000+5000</f>
        <v>25000</v>
      </c>
      <c r="H112" s="12"/>
      <c r="I112" s="12"/>
      <c r="J112" s="12"/>
      <c r="K112" s="4">
        <f t="shared" si="27"/>
        <v>0</v>
      </c>
      <c r="L112" s="4"/>
      <c r="M112" s="12"/>
      <c r="N112" s="4"/>
      <c r="O112" s="12"/>
      <c r="P112" s="12"/>
      <c r="Q112" s="4">
        <f t="shared" si="25"/>
        <v>25000</v>
      </c>
      <c r="T112" s="24"/>
    </row>
    <row r="113" spans="1:20" s="26" customFormat="1" ht="37.950000000000003" customHeight="1">
      <c r="A113" s="66" t="s">
        <v>189</v>
      </c>
      <c r="B113" s="66" t="s">
        <v>428</v>
      </c>
      <c r="C113" s="66" t="s">
        <v>75</v>
      </c>
      <c r="D113" s="119" t="s">
        <v>485</v>
      </c>
      <c r="E113" s="7" t="s">
        <v>12</v>
      </c>
      <c r="F113" s="4">
        <f>G113+J113</f>
        <v>13084298</v>
      </c>
      <c r="G113" s="4">
        <f>12104950+865000+44348+70000</f>
        <v>13084298</v>
      </c>
      <c r="H113" s="47">
        <f>11185050-26000+865000</f>
        <v>12024050</v>
      </c>
      <c r="I113" s="12">
        <v>902900</v>
      </c>
      <c r="J113" s="12"/>
      <c r="K113" s="4">
        <f>M113+P113</f>
        <v>616000</v>
      </c>
      <c r="L113" s="4">
        <v>106000</v>
      </c>
      <c r="M113" s="12">
        <v>510000</v>
      </c>
      <c r="N113" s="4">
        <v>144000</v>
      </c>
      <c r="O113" s="12"/>
      <c r="P113" s="12">
        <v>106000</v>
      </c>
      <c r="Q113" s="4">
        <f>F113+K113</f>
        <v>13700298</v>
      </c>
      <c r="T113" s="24"/>
    </row>
    <row r="114" spans="1:20" s="26" customFormat="1" ht="33" customHeight="1">
      <c r="A114" s="66" t="s">
        <v>183</v>
      </c>
      <c r="B114" s="66" t="s">
        <v>429</v>
      </c>
      <c r="C114" s="66" t="s">
        <v>108</v>
      </c>
      <c r="D114" s="119" t="s">
        <v>184</v>
      </c>
      <c r="E114" s="7" t="s">
        <v>9</v>
      </c>
      <c r="F114" s="4">
        <f t="shared" si="26"/>
        <v>3277500</v>
      </c>
      <c r="G114" s="4">
        <f>3048700+220000+3200+5600</f>
        <v>3277500</v>
      </c>
      <c r="H114" s="12">
        <f>2551000+220000</f>
        <v>2771000</v>
      </c>
      <c r="I114" s="12">
        <v>442600</v>
      </c>
      <c r="J114" s="12"/>
      <c r="K114" s="4">
        <f t="shared" si="27"/>
        <v>51000</v>
      </c>
      <c r="L114" s="4">
        <v>35000</v>
      </c>
      <c r="M114" s="4">
        <v>16000</v>
      </c>
      <c r="N114" s="12"/>
      <c r="O114" s="12"/>
      <c r="P114" s="12">
        <v>35000</v>
      </c>
      <c r="Q114" s="4">
        <f t="shared" si="25"/>
        <v>3328500</v>
      </c>
      <c r="T114" s="24"/>
    </row>
    <row r="115" spans="1:20" s="26" customFormat="1" ht="38.25" customHeight="1">
      <c r="A115" s="66" t="s">
        <v>185</v>
      </c>
      <c r="B115" s="66" t="s">
        <v>430</v>
      </c>
      <c r="C115" s="66" t="s">
        <v>108</v>
      </c>
      <c r="D115" s="119" t="s">
        <v>186</v>
      </c>
      <c r="E115" s="7" t="s">
        <v>10</v>
      </c>
      <c r="F115" s="4">
        <f t="shared" si="26"/>
        <v>4833441</v>
      </c>
      <c r="G115" s="4">
        <f>2784200+160000+14100+15000+24141+913000+923000</f>
        <v>4833441</v>
      </c>
      <c r="H115" s="12">
        <f>1966800+160000</f>
        <v>2126800</v>
      </c>
      <c r="I115" s="12">
        <v>263000</v>
      </c>
      <c r="J115" s="12"/>
      <c r="K115" s="4">
        <f t="shared" si="27"/>
        <v>185000</v>
      </c>
      <c r="L115" s="4">
        <f>15000+37000+63000</f>
        <v>115000</v>
      </c>
      <c r="M115" s="4">
        <v>70000</v>
      </c>
      <c r="N115" s="12">
        <v>22000</v>
      </c>
      <c r="O115" s="12"/>
      <c r="P115" s="12">
        <f>15000+37000+63000</f>
        <v>115000</v>
      </c>
      <c r="Q115" s="4">
        <f t="shared" si="25"/>
        <v>5018441</v>
      </c>
      <c r="T115" s="24"/>
    </row>
    <row r="116" spans="1:20" s="26" customFormat="1" ht="52.2" customHeight="1">
      <c r="A116" s="66" t="s">
        <v>188</v>
      </c>
      <c r="B116" s="66" t="s">
        <v>431</v>
      </c>
      <c r="C116" s="66" t="s">
        <v>85</v>
      </c>
      <c r="D116" s="119" t="s">
        <v>187</v>
      </c>
      <c r="E116" s="7" t="s">
        <v>11</v>
      </c>
      <c r="F116" s="4">
        <f t="shared" si="26"/>
        <v>2245600</v>
      </c>
      <c r="G116" s="4">
        <f>1898900+80000+191700+75000</f>
        <v>2245600</v>
      </c>
      <c r="H116" s="12">
        <f>1594500+80000</f>
        <v>1674500</v>
      </c>
      <c r="I116" s="12">
        <v>288200</v>
      </c>
      <c r="J116" s="12"/>
      <c r="K116" s="4">
        <f t="shared" si="27"/>
        <v>45000</v>
      </c>
      <c r="L116" s="4"/>
      <c r="M116" s="4">
        <v>45000</v>
      </c>
      <c r="N116" s="12">
        <v>3050</v>
      </c>
      <c r="O116" s="12"/>
      <c r="P116" s="12">
        <f>380000-380000</f>
        <v>0</v>
      </c>
      <c r="Q116" s="4">
        <f t="shared" si="25"/>
        <v>2290600</v>
      </c>
      <c r="T116" s="24"/>
    </row>
    <row r="117" spans="1:20" s="26" customFormat="1" ht="36.6" customHeight="1">
      <c r="A117" s="66" t="s">
        <v>234</v>
      </c>
      <c r="B117" s="66" t="s">
        <v>432</v>
      </c>
      <c r="C117" s="66" t="s">
        <v>84</v>
      </c>
      <c r="D117" s="119" t="s">
        <v>235</v>
      </c>
      <c r="E117" s="7"/>
      <c r="F117" s="4">
        <f t="shared" si="26"/>
        <v>705950</v>
      </c>
      <c r="G117" s="4">
        <f>668950+37000</f>
        <v>705950</v>
      </c>
      <c r="H117" s="12">
        <f>623300+37000</f>
        <v>660300</v>
      </c>
      <c r="I117" s="12">
        <v>20000</v>
      </c>
      <c r="J117" s="12"/>
      <c r="K117" s="4">
        <f t="shared" si="27"/>
        <v>0</v>
      </c>
      <c r="L117" s="4"/>
      <c r="M117" s="12"/>
      <c r="N117" s="4"/>
      <c r="O117" s="12"/>
      <c r="P117" s="12"/>
      <c r="Q117" s="4">
        <f t="shared" si="25"/>
        <v>705950</v>
      </c>
      <c r="T117" s="24"/>
    </row>
    <row r="118" spans="1:20" s="26" customFormat="1" ht="33.75" customHeight="1">
      <c r="A118" s="66" t="s">
        <v>236</v>
      </c>
      <c r="B118" s="66" t="s">
        <v>433</v>
      </c>
      <c r="C118" s="66" t="s">
        <v>84</v>
      </c>
      <c r="D118" s="119" t="s">
        <v>237</v>
      </c>
      <c r="E118" s="7"/>
      <c r="F118" s="4">
        <f t="shared" si="26"/>
        <v>1380600</v>
      </c>
      <c r="G118" s="4">
        <f>1200000+102000+200000+23600-145000</f>
        <v>1380600</v>
      </c>
      <c r="H118" s="12"/>
      <c r="I118" s="12"/>
      <c r="J118" s="12"/>
      <c r="K118" s="4">
        <f t="shared" si="27"/>
        <v>262000</v>
      </c>
      <c r="L118" s="4">
        <f>67000+195000</f>
        <v>262000</v>
      </c>
      <c r="M118" s="12"/>
      <c r="N118" s="4"/>
      <c r="O118" s="12"/>
      <c r="P118" s="12">
        <f>L118</f>
        <v>262000</v>
      </c>
      <c r="Q118" s="4">
        <f t="shared" si="25"/>
        <v>1642600</v>
      </c>
      <c r="T118" s="24"/>
    </row>
    <row r="119" spans="1:20" s="26" customFormat="1" ht="63.75" hidden="1" customHeight="1">
      <c r="A119" s="66" t="s">
        <v>324</v>
      </c>
      <c r="B119" s="66" t="s">
        <v>378</v>
      </c>
      <c r="C119" s="66" t="s">
        <v>210</v>
      </c>
      <c r="D119" s="119" t="s">
        <v>354</v>
      </c>
      <c r="E119" s="7"/>
      <c r="F119" s="4">
        <f t="shared" si="26"/>
        <v>0</v>
      </c>
      <c r="G119" s="4"/>
      <c r="H119" s="12"/>
      <c r="I119" s="12"/>
      <c r="J119" s="12"/>
      <c r="K119" s="4">
        <f>M119+P119</f>
        <v>0</v>
      </c>
      <c r="L119" s="4"/>
      <c r="M119" s="12"/>
      <c r="N119" s="4"/>
      <c r="O119" s="12"/>
      <c r="P119" s="12">
        <f>L119</f>
        <v>0</v>
      </c>
      <c r="Q119" s="4">
        <f>F119+K119</f>
        <v>0</v>
      </c>
      <c r="T119" s="24"/>
    </row>
    <row r="120" spans="1:20" s="8" customFormat="1" ht="44.4" customHeight="1">
      <c r="A120" s="66" t="s">
        <v>474</v>
      </c>
      <c r="B120" s="66" t="s">
        <v>465</v>
      </c>
      <c r="C120" s="66" t="s">
        <v>466</v>
      </c>
      <c r="D120" s="119" t="s">
        <v>467</v>
      </c>
      <c r="E120" s="13"/>
      <c r="F120" s="4">
        <f t="shared" si="26"/>
        <v>120200</v>
      </c>
      <c r="G120" s="48">
        <v>120200</v>
      </c>
      <c r="H120" s="49"/>
      <c r="I120" s="49"/>
      <c r="J120" s="49"/>
      <c r="K120" s="4">
        <f t="shared" si="27"/>
        <v>61500</v>
      </c>
      <c r="L120" s="48">
        <v>61500</v>
      </c>
      <c r="M120" s="48"/>
      <c r="N120" s="48"/>
      <c r="O120" s="49"/>
      <c r="P120" s="49">
        <v>61500</v>
      </c>
      <c r="Q120" s="4">
        <f>F120+K120</f>
        <v>181700</v>
      </c>
      <c r="T120" s="22"/>
    </row>
    <row r="121" spans="1:20" s="26" customFormat="1" ht="47.25" customHeight="1">
      <c r="A121" s="74" t="s">
        <v>152</v>
      </c>
      <c r="B121" s="74" t="s">
        <v>152</v>
      </c>
      <c r="C121" s="88"/>
      <c r="D121" s="84" t="s">
        <v>41</v>
      </c>
      <c r="E121" s="93"/>
      <c r="F121" s="77">
        <f>F122</f>
        <v>5196409</v>
      </c>
      <c r="G121" s="77">
        <f t="shared" ref="G121:P121" si="28">G122</f>
        <v>5196409</v>
      </c>
      <c r="H121" s="78">
        <f t="shared" si="28"/>
        <v>2265300</v>
      </c>
      <c r="I121" s="78">
        <f t="shared" si="28"/>
        <v>171000</v>
      </c>
      <c r="J121" s="78">
        <f t="shared" si="28"/>
        <v>0</v>
      </c>
      <c r="K121" s="77">
        <f t="shared" si="28"/>
        <v>809590</v>
      </c>
      <c r="L121" s="77">
        <f t="shared" si="28"/>
        <v>733290</v>
      </c>
      <c r="M121" s="78">
        <f t="shared" si="28"/>
        <v>76300</v>
      </c>
      <c r="N121" s="78">
        <f t="shared" si="28"/>
        <v>59200</v>
      </c>
      <c r="O121" s="78">
        <f t="shared" si="28"/>
        <v>0</v>
      </c>
      <c r="P121" s="78">
        <f t="shared" si="28"/>
        <v>733290</v>
      </c>
      <c r="Q121" s="78">
        <f t="shared" si="25"/>
        <v>6005999</v>
      </c>
      <c r="R121" s="60"/>
      <c r="T121" s="24"/>
    </row>
    <row r="122" spans="1:20" s="26" customFormat="1" ht="39" customHeight="1">
      <c r="A122" s="79" t="s">
        <v>153</v>
      </c>
      <c r="B122" s="79" t="s">
        <v>153</v>
      </c>
      <c r="C122" s="89"/>
      <c r="D122" s="86" t="str">
        <f>D121</f>
        <v>Відділ з питань фізичної культури та спорту Ніжинської міської ради</v>
      </c>
      <c r="E122" s="94"/>
      <c r="F122" s="87">
        <f>SUM(F123:F130)</f>
        <v>5196409</v>
      </c>
      <c r="G122" s="87">
        <f>SUM(G123:G130)</f>
        <v>5196409</v>
      </c>
      <c r="H122" s="87">
        <f t="shared" ref="H122:P122" si="29">SUM(H123:H130)</f>
        <v>2265300</v>
      </c>
      <c r="I122" s="87">
        <f t="shared" si="29"/>
        <v>171000</v>
      </c>
      <c r="J122" s="87">
        <f t="shared" si="29"/>
        <v>0</v>
      </c>
      <c r="K122" s="87">
        <f t="shared" si="29"/>
        <v>809590</v>
      </c>
      <c r="L122" s="87">
        <f t="shared" si="29"/>
        <v>733290</v>
      </c>
      <c r="M122" s="87">
        <f t="shared" si="29"/>
        <v>76300</v>
      </c>
      <c r="N122" s="87">
        <f t="shared" si="29"/>
        <v>59200</v>
      </c>
      <c r="O122" s="87">
        <f t="shared" si="29"/>
        <v>0</v>
      </c>
      <c r="P122" s="87">
        <f t="shared" si="29"/>
        <v>733290</v>
      </c>
      <c r="Q122" s="82">
        <f t="shared" si="25"/>
        <v>6005999</v>
      </c>
      <c r="T122" s="24"/>
    </row>
    <row r="123" spans="1:20" s="26" customFormat="1" ht="55.2" customHeight="1">
      <c r="A123" s="66" t="s">
        <v>154</v>
      </c>
      <c r="B123" s="66" t="s">
        <v>358</v>
      </c>
      <c r="C123" s="66" t="s">
        <v>61</v>
      </c>
      <c r="D123" s="117" t="s">
        <v>308</v>
      </c>
      <c r="E123" s="7"/>
      <c r="F123" s="4">
        <f t="shared" ref="F123:F130" si="30">G123+J123</f>
        <v>949200</v>
      </c>
      <c r="G123" s="4">
        <f>898300+42000+8900</f>
        <v>949200</v>
      </c>
      <c r="H123" s="12">
        <f>873200+42000</f>
        <v>915200</v>
      </c>
      <c r="I123" s="12">
        <v>20100</v>
      </c>
      <c r="J123" s="12"/>
      <c r="K123" s="4">
        <f>M123+P123</f>
        <v>0</v>
      </c>
      <c r="L123" s="4"/>
      <c r="M123" s="12"/>
      <c r="N123" s="4"/>
      <c r="O123" s="12"/>
      <c r="P123" s="12">
        <f>L123</f>
        <v>0</v>
      </c>
      <c r="Q123" s="4">
        <f t="shared" si="25"/>
        <v>949200</v>
      </c>
      <c r="T123" s="24"/>
    </row>
    <row r="124" spans="1:20" s="26" customFormat="1" ht="39.75" customHeight="1">
      <c r="A124" s="66" t="s">
        <v>310</v>
      </c>
      <c r="B124" s="66" t="s">
        <v>280</v>
      </c>
      <c r="C124" s="68" t="s">
        <v>72</v>
      </c>
      <c r="D124" s="126" t="s">
        <v>139</v>
      </c>
      <c r="E124" s="7"/>
      <c r="F124" s="4">
        <f t="shared" si="30"/>
        <v>6400</v>
      </c>
      <c r="G124" s="4">
        <f>5000+1400</f>
        <v>6400</v>
      </c>
      <c r="H124" s="12"/>
      <c r="I124" s="12"/>
      <c r="J124" s="12"/>
      <c r="K124" s="4"/>
      <c r="L124" s="4"/>
      <c r="M124" s="12"/>
      <c r="N124" s="4"/>
      <c r="O124" s="12"/>
      <c r="P124" s="12"/>
      <c r="Q124" s="4">
        <f t="shared" si="25"/>
        <v>6400</v>
      </c>
      <c r="T124" s="24"/>
    </row>
    <row r="125" spans="1:20" s="26" customFormat="1" ht="34.950000000000003" customHeight="1">
      <c r="A125" s="66" t="s">
        <v>207</v>
      </c>
      <c r="B125" s="66" t="s">
        <v>434</v>
      </c>
      <c r="C125" s="66" t="s">
        <v>77</v>
      </c>
      <c r="D125" s="119" t="s">
        <v>94</v>
      </c>
      <c r="E125" s="7"/>
      <c r="F125" s="4">
        <f t="shared" si="30"/>
        <v>835500</v>
      </c>
      <c r="G125" s="4">
        <f>802000+33500</f>
        <v>835500</v>
      </c>
      <c r="H125" s="12"/>
      <c r="I125" s="12"/>
      <c r="J125" s="12"/>
      <c r="K125" s="4">
        <f t="shared" ref="K125:K130" si="31">M125+P125</f>
        <v>50000</v>
      </c>
      <c r="L125" s="4">
        <v>50000</v>
      </c>
      <c r="M125" s="12"/>
      <c r="N125" s="4"/>
      <c r="O125" s="12"/>
      <c r="P125" s="12">
        <f>L125</f>
        <v>50000</v>
      </c>
      <c r="Q125" s="4">
        <f t="shared" si="25"/>
        <v>885500</v>
      </c>
      <c r="T125" s="24"/>
    </row>
    <row r="126" spans="1:20" s="26" customFormat="1" ht="56.4" customHeight="1">
      <c r="A126" s="66" t="s">
        <v>155</v>
      </c>
      <c r="B126" s="66" t="s">
        <v>435</v>
      </c>
      <c r="C126" s="66" t="s">
        <v>77</v>
      </c>
      <c r="D126" s="119" t="s">
        <v>95</v>
      </c>
      <c r="E126" s="7"/>
      <c r="F126" s="4">
        <f t="shared" si="30"/>
        <v>193000</v>
      </c>
      <c r="G126" s="4">
        <f>146500+46500</f>
        <v>193000</v>
      </c>
      <c r="H126" s="12"/>
      <c r="I126" s="12"/>
      <c r="J126" s="12"/>
      <c r="K126" s="4">
        <f t="shared" si="31"/>
        <v>0</v>
      </c>
      <c r="L126" s="4"/>
      <c r="M126" s="12"/>
      <c r="N126" s="4"/>
      <c r="O126" s="12"/>
      <c r="P126" s="12"/>
      <c r="Q126" s="4">
        <f t="shared" si="25"/>
        <v>193000</v>
      </c>
      <c r="T126" s="24"/>
    </row>
    <row r="127" spans="1:20" s="26" customFormat="1" ht="54.6" customHeight="1">
      <c r="A127" s="66" t="s">
        <v>157</v>
      </c>
      <c r="B127" s="66" t="s">
        <v>436</v>
      </c>
      <c r="C127" s="66" t="s">
        <v>77</v>
      </c>
      <c r="D127" s="119" t="s">
        <v>96</v>
      </c>
      <c r="E127" s="7"/>
      <c r="F127" s="4">
        <f t="shared" si="30"/>
        <v>1221000</v>
      </c>
      <c r="G127" s="4">
        <f>1100000+121000</f>
        <v>1221000</v>
      </c>
      <c r="H127" s="12"/>
      <c r="I127" s="12"/>
      <c r="J127" s="12"/>
      <c r="K127" s="4">
        <f t="shared" si="31"/>
        <v>0</v>
      </c>
      <c r="L127" s="4"/>
      <c r="M127" s="12"/>
      <c r="N127" s="4"/>
      <c r="O127" s="12"/>
      <c r="P127" s="12"/>
      <c r="Q127" s="4">
        <f t="shared" si="25"/>
        <v>1221000</v>
      </c>
      <c r="T127" s="24"/>
    </row>
    <row r="128" spans="1:20" s="26" customFormat="1" ht="91.5" customHeight="1">
      <c r="A128" s="66" t="s">
        <v>156</v>
      </c>
      <c r="B128" s="66" t="s">
        <v>437</v>
      </c>
      <c r="C128" s="66" t="s">
        <v>77</v>
      </c>
      <c r="D128" s="119" t="s">
        <v>302</v>
      </c>
      <c r="E128" s="7"/>
      <c r="F128" s="4">
        <f t="shared" si="30"/>
        <v>1979639</v>
      </c>
      <c r="G128" s="4">
        <f>1550000+10000+6000+94439+180000+139200</f>
        <v>1979639</v>
      </c>
      <c r="H128" s="12">
        <f>1115000+235100</f>
        <v>1350100</v>
      </c>
      <c r="I128" s="12">
        <v>150900</v>
      </c>
      <c r="J128" s="12"/>
      <c r="K128" s="4">
        <f t="shared" si="31"/>
        <v>732090</v>
      </c>
      <c r="L128" s="4">
        <f>318800+90000+246990</f>
        <v>655790</v>
      </c>
      <c r="M128" s="12">
        <v>76300</v>
      </c>
      <c r="N128" s="4">
        <v>59200</v>
      </c>
      <c r="O128" s="12"/>
      <c r="P128" s="12">
        <f>318800+90000+246990</f>
        <v>655790</v>
      </c>
      <c r="Q128" s="4">
        <f>F128+K128</f>
        <v>2711729</v>
      </c>
      <c r="T128" s="24"/>
    </row>
    <row r="129" spans="1:20" s="26" customFormat="1" ht="48.6" hidden="1" customHeight="1">
      <c r="A129" s="66" t="s">
        <v>285</v>
      </c>
      <c r="B129" s="66" t="s">
        <v>378</v>
      </c>
      <c r="C129" s="66" t="s">
        <v>210</v>
      </c>
      <c r="D129" s="119" t="s">
        <v>276</v>
      </c>
      <c r="E129" s="7"/>
      <c r="F129" s="4">
        <f t="shared" si="30"/>
        <v>0</v>
      </c>
      <c r="G129" s="4">
        <v>0</v>
      </c>
      <c r="H129" s="12"/>
      <c r="I129" s="12"/>
      <c r="J129" s="12"/>
      <c r="K129" s="4">
        <f t="shared" si="31"/>
        <v>0</v>
      </c>
      <c r="L129" s="4"/>
      <c r="M129" s="12"/>
      <c r="N129" s="4"/>
      <c r="O129" s="12"/>
      <c r="P129" s="12">
        <f>L129</f>
        <v>0</v>
      </c>
      <c r="Q129" s="4">
        <f>F129+K129</f>
        <v>0</v>
      </c>
      <c r="T129" s="24"/>
    </row>
    <row r="130" spans="1:20" s="8" customFormat="1" ht="38.4" customHeight="1">
      <c r="A130" s="66" t="s">
        <v>475</v>
      </c>
      <c r="B130" s="66" t="s">
        <v>465</v>
      </c>
      <c r="C130" s="66" t="s">
        <v>466</v>
      </c>
      <c r="D130" s="119" t="s">
        <v>467</v>
      </c>
      <c r="E130" s="13"/>
      <c r="F130" s="4">
        <f t="shared" si="30"/>
        <v>11670</v>
      </c>
      <c r="G130" s="48">
        <v>11670</v>
      </c>
      <c r="H130" s="49"/>
      <c r="I130" s="49"/>
      <c r="J130" s="49"/>
      <c r="K130" s="4">
        <f t="shared" si="31"/>
        <v>27500</v>
      </c>
      <c r="L130" s="48">
        <f>8500+19000</f>
        <v>27500</v>
      </c>
      <c r="M130" s="48"/>
      <c r="N130" s="48"/>
      <c r="O130" s="49"/>
      <c r="P130" s="49">
        <f>8500+19000</f>
        <v>27500</v>
      </c>
      <c r="Q130" s="4">
        <f>F130+K130</f>
        <v>39170</v>
      </c>
      <c r="T130" s="22"/>
    </row>
    <row r="131" spans="1:20" s="26" customFormat="1" ht="67.95" customHeight="1">
      <c r="A131" s="74" t="s">
        <v>190</v>
      </c>
      <c r="B131" s="74" t="s">
        <v>190</v>
      </c>
      <c r="C131" s="88"/>
      <c r="D131" s="84" t="s">
        <v>34</v>
      </c>
      <c r="E131" s="83" t="s">
        <v>34</v>
      </c>
      <c r="F131" s="77">
        <f>F132</f>
        <v>44010240</v>
      </c>
      <c r="G131" s="77">
        <f>G132</f>
        <v>34754007</v>
      </c>
      <c r="H131" s="78">
        <f>H132</f>
        <v>4317300</v>
      </c>
      <c r="I131" s="78">
        <f>I132</f>
        <v>6194950</v>
      </c>
      <c r="J131" s="78">
        <f t="shared" ref="J131:P131" si="32">J132</f>
        <v>9256233</v>
      </c>
      <c r="K131" s="77">
        <f t="shared" si="32"/>
        <v>55922078.219999999</v>
      </c>
      <c r="L131" s="77">
        <f t="shared" si="32"/>
        <v>54567901.100000001</v>
      </c>
      <c r="M131" s="95">
        <f t="shared" si="32"/>
        <v>884177.12</v>
      </c>
      <c r="N131" s="78">
        <f t="shared" si="32"/>
        <v>0</v>
      </c>
      <c r="O131" s="78">
        <f t="shared" si="32"/>
        <v>0</v>
      </c>
      <c r="P131" s="77">
        <f t="shared" si="32"/>
        <v>55037901.100000001</v>
      </c>
      <c r="Q131" s="77">
        <f t="shared" si="25"/>
        <v>99932318.219999999</v>
      </c>
      <c r="T131" s="24"/>
    </row>
    <row r="132" spans="1:20" s="29" customFormat="1" ht="49.95" customHeight="1">
      <c r="A132" s="96" t="s">
        <v>191</v>
      </c>
      <c r="B132" s="96" t="s">
        <v>191</v>
      </c>
      <c r="C132" s="97"/>
      <c r="D132" s="127" t="str">
        <f>D131</f>
        <v>Управління житлово-комунального господарства та будівництва міської ради</v>
      </c>
      <c r="E132" s="98"/>
      <c r="F132" s="99">
        <f t="shared" ref="F132:O132" si="33">SUM(F133:F166)</f>
        <v>44010240</v>
      </c>
      <c r="G132" s="99">
        <f t="shared" si="33"/>
        <v>34754007</v>
      </c>
      <c r="H132" s="100">
        <f t="shared" si="33"/>
        <v>4317300</v>
      </c>
      <c r="I132" s="100">
        <f t="shared" si="33"/>
        <v>6194950</v>
      </c>
      <c r="J132" s="100">
        <f t="shared" si="33"/>
        <v>9256233</v>
      </c>
      <c r="K132" s="99">
        <f>SUM(K133:K166)+K167</f>
        <v>55922078.219999999</v>
      </c>
      <c r="L132" s="99">
        <f t="shared" si="33"/>
        <v>54567901.100000001</v>
      </c>
      <c r="M132" s="99">
        <f t="shared" si="33"/>
        <v>884177.12</v>
      </c>
      <c r="N132" s="100">
        <f t="shared" si="33"/>
        <v>0</v>
      </c>
      <c r="O132" s="100">
        <f t="shared" si="33"/>
        <v>0</v>
      </c>
      <c r="P132" s="100">
        <f>SUM(P133:P166)+P167</f>
        <v>55037901.100000001</v>
      </c>
      <c r="Q132" s="87">
        <f t="shared" ref="Q132:Q187" si="34">F132+K132</f>
        <v>99932318.219999999</v>
      </c>
      <c r="T132" s="30"/>
    </row>
    <row r="133" spans="1:20" s="8" customFormat="1" ht="69" customHeight="1">
      <c r="A133" s="66" t="s">
        <v>192</v>
      </c>
      <c r="B133" s="66" t="s">
        <v>358</v>
      </c>
      <c r="C133" s="66" t="s">
        <v>61</v>
      </c>
      <c r="D133" s="117" t="s">
        <v>308</v>
      </c>
      <c r="E133" s="7" t="s">
        <v>2</v>
      </c>
      <c r="F133" s="4">
        <f t="shared" ref="F133:F159" si="35">G133+J133</f>
        <v>4617900</v>
      </c>
      <c r="G133" s="4">
        <f>4407900+210000</f>
        <v>4617900</v>
      </c>
      <c r="H133" s="12">
        <f>4107300+210000</f>
        <v>4317300</v>
      </c>
      <c r="I133" s="12">
        <v>192950</v>
      </c>
      <c r="J133" s="12"/>
      <c r="K133" s="4">
        <f t="shared" ref="K133:K167" si="36">M133+P133</f>
        <v>200000</v>
      </c>
      <c r="L133" s="4"/>
      <c r="M133" s="62">
        <v>100000</v>
      </c>
      <c r="N133" s="4"/>
      <c r="O133" s="12"/>
      <c r="P133" s="12">
        <v>100000</v>
      </c>
      <c r="Q133" s="4">
        <f t="shared" si="34"/>
        <v>4817900</v>
      </c>
      <c r="T133" s="22"/>
    </row>
    <row r="134" spans="1:20" s="8" customFormat="1" ht="21" customHeight="1">
      <c r="A134" s="66" t="s">
        <v>284</v>
      </c>
      <c r="B134" s="66" t="s">
        <v>280</v>
      </c>
      <c r="C134" s="66" t="s">
        <v>72</v>
      </c>
      <c r="D134" s="117" t="s">
        <v>139</v>
      </c>
      <c r="E134" s="7"/>
      <c r="F134" s="4">
        <f t="shared" si="35"/>
        <v>23000</v>
      </c>
      <c r="G134" s="4">
        <f>20000+3000</f>
        <v>23000</v>
      </c>
      <c r="H134" s="12"/>
      <c r="I134" s="12"/>
      <c r="J134" s="12"/>
      <c r="K134" s="4">
        <f t="shared" si="36"/>
        <v>0</v>
      </c>
      <c r="L134" s="4"/>
      <c r="M134" s="53"/>
      <c r="N134" s="4"/>
      <c r="O134" s="12"/>
      <c r="P134" s="12"/>
      <c r="Q134" s="4">
        <f t="shared" si="34"/>
        <v>23000</v>
      </c>
      <c r="T134" s="22"/>
    </row>
    <row r="135" spans="1:20" s="8" customFormat="1" ht="37.200000000000003" customHeight="1">
      <c r="A135" s="66" t="s">
        <v>314</v>
      </c>
      <c r="B135" s="66" t="s">
        <v>425</v>
      </c>
      <c r="C135" s="66" t="s">
        <v>312</v>
      </c>
      <c r="D135" s="119" t="s">
        <v>311</v>
      </c>
      <c r="E135" s="7"/>
      <c r="F135" s="4">
        <f t="shared" si="35"/>
        <v>95000</v>
      </c>
      <c r="G135" s="4">
        <v>95000</v>
      </c>
      <c r="H135" s="12"/>
      <c r="I135" s="12"/>
      <c r="J135" s="12"/>
      <c r="K135" s="4">
        <f>M135+P135</f>
        <v>0</v>
      </c>
      <c r="L135" s="4"/>
      <c r="M135" s="53"/>
      <c r="N135" s="4"/>
      <c r="O135" s="12"/>
      <c r="P135" s="12"/>
      <c r="Q135" s="4">
        <f>F135+K135</f>
        <v>95000</v>
      </c>
      <c r="T135" s="22"/>
    </row>
    <row r="136" spans="1:20" s="8" customFormat="1" ht="48" hidden="1" customHeight="1">
      <c r="A136" s="66" t="s">
        <v>343</v>
      </c>
      <c r="B136" s="66" t="s">
        <v>438</v>
      </c>
      <c r="C136" s="66" t="s">
        <v>77</v>
      </c>
      <c r="D136" s="119" t="s">
        <v>344</v>
      </c>
      <c r="E136" s="7"/>
      <c r="F136" s="4">
        <f t="shared" si="35"/>
        <v>0</v>
      </c>
      <c r="G136" s="4"/>
      <c r="H136" s="12"/>
      <c r="I136" s="12"/>
      <c r="J136" s="12"/>
      <c r="K136" s="4">
        <f>M136+P136</f>
        <v>0</v>
      </c>
      <c r="L136" s="4"/>
      <c r="M136" s="53"/>
      <c r="N136" s="4"/>
      <c r="O136" s="12"/>
      <c r="P136" s="12">
        <f>L136</f>
        <v>0</v>
      </c>
      <c r="Q136" s="4">
        <f>F136+K136</f>
        <v>0</v>
      </c>
      <c r="T136" s="22"/>
    </row>
    <row r="137" spans="1:20" s="25" customFormat="1" ht="34.200000000000003" hidden="1" customHeight="1">
      <c r="A137" s="66" t="s">
        <v>193</v>
      </c>
      <c r="B137" s="66" t="s">
        <v>439</v>
      </c>
      <c r="C137" s="66" t="s">
        <v>68</v>
      </c>
      <c r="D137" s="119" t="s">
        <v>288</v>
      </c>
      <c r="E137" s="3" t="s">
        <v>45</v>
      </c>
      <c r="F137" s="4">
        <f t="shared" si="35"/>
        <v>0</v>
      </c>
      <c r="G137" s="4"/>
      <c r="H137" s="12"/>
      <c r="I137" s="12"/>
      <c r="J137" s="12"/>
      <c r="K137" s="4">
        <f>M137+P137</f>
        <v>0</v>
      </c>
      <c r="L137" s="4"/>
      <c r="M137" s="53"/>
      <c r="N137" s="4"/>
      <c r="O137" s="12"/>
      <c r="P137" s="12"/>
      <c r="Q137" s="4">
        <f>F137+K137</f>
        <v>0</v>
      </c>
      <c r="T137" s="22"/>
    </row>
    <row r="138" spans="1:20" s="8" customFormat="1" ht="34.200000000000003" hidden="1" customHeight="1">
      <c r="A138" s="72">
        <v>1216011</v>
      </c>
      <c r="B138" s="66" t="s">
        <v>440</v>
      </c>
      <c r="C138" s="66" t="s">
        <v>68</v>
      </c>
      <c r="D138" s="118" t="s">
        <v>255</v>
      </c>
      <c r="E138" s="7"/>
      <c r="F138" s="4">
        <f t="shared" si="35"/>
        <v>0</v>
      </c>
      <c r="G138" s="4"/>
      <c r="H138" s="12"/>
      <c r="I138" s="12"/>
      <c r="J138" s="12"/>
      <c r="K138" s="4">
        <f>M138+P138</f>
        <v>0</v>
      </c>
      <c r="L138" s="4"/>
      <c r="M138" s="53"/>
      <c r="N138" s="4"/>
      <c r="O138" s="12"/>
      <c r="P138" s="12">
        <f>L138</f>
        <v>0</v>
      </c>
      <c r="Q138" s="4">
        <f>F138+K138</f>
        <v>0</v>
      </c>
      <c r="T138" s="22"/>
    </row>
    <row r="139" spans="1:20" s="8" customFormat="1" ht="54.6" customHeight="1">
      <c r="A139" s="130">
        <v>1215045</v>
      </c>
      <c r="B139" s="66" t="s">
        <v>438</v>
      </c>
      <c r="C139" s="66" t="s">
        <v>77</v>
      </c>
      <c r="D139" s="118" t="s">
        <v>515</v>
      </c>
      <c r="E139" s="7"/>
      <c r="F139" s="4"/>
      <c r="G139" s="4"/>
      <c r="H139" s="12"/>
      <c r="I139" s="12"/>
      <c r="J139" s="12"/>
      <c r="K139" s="4">
        <f>M139+P139</f>
        <v>508839</v>
      </c>
      <c r="L139" s="4">
        <v>508839</v>
      </c>
      <c r="M139" s="53"/>
      <c r="N139" s="4"/>
      <c r="O139" s="12"/>
      <c r="P139" s="12">
        <v>508839</v>
      </c>
      <c r="Q139" s="4">
        <f>F139+K139</f>
        <v>508839</v>
      </c>
      <c r="T139" s="22"/>
    </row>
    <row r="140" spans="1:20" s="8" customFormat="1" ht="34.200000000000003" customHeight="1">
      <c r="A140" s="72">
        <v>1216013</v>
      </c>
      <c r="B140" s="66" t="s">
        <v>441</v>
      </c>
      <c r="C140" s="66" t="s">
        <v>68</v>
      </c>
      <c r="D140" s="118" t="s">
        <v>267</v>
      </c>
      <c r="E140" s="7"/>
      <c r="F140" s="4">
        <f t="shared" si="35"/>
        <v>300000</v>
      </c>
      <c r="G140" s="4">
        <v>300000</v>
      </c>
      <c r="H140" s="12"/>
      <c r="I140" s="12"/>
      <c r="J140" s="12"/>
      <c r="K140" s="4">
        <f t="shared" si="36"/>
        <v>0</v>
      </c>
      <c r="L140" s="4"/>
      <c r="M140" s="53"/>
      <c r="N140" s="4"/>
      <c r="O140" s="12"/>
      <c r="P140" s="12"/>
      <c r="Q140" s="4">
        <f t="shared" si="34"/>
        <v>300000</v>
      </c>
      <c r="T140" s="22"/>
    </row>
    <row r="141" spans="1:20" s="8" customFormat="1" ht="52.95" customHeight="1">
      <c r="A141" s="72">
        <v>1216016</v>
      </c>
      <c r="B141" s="66" t="s">
        <v>476</v>
      </c>
      <c r="C141" s="66" t="s">
        <v>68</v>
      </c>
      <c r="D141" s="118" t="s">
        <v>477</v>
      </c>
      <c r="E141" s="7"/>
      <c r="F141" s="4">
        <f>G141+J141</f>
        <v>0</v>
      </c>
      <c r="G141" s="4"/>
      <c r="H141" s="12"/>
      <c r="I141" s="12"/>
      <c r="J141" s="12">
        <f>300000-300000</f>
        <v>0</v>
      </c>
      <c r="K141" s="4">
        <f>M141+P141</f>
        <v>1500000</v>
      </c>
      <c r="L141" s="4">
        <f>1500000</f>
        <v>1500000</v>
      </c>
      <c r="M141" s="53"/>
      <c r="N141" s="4"/>
      <c r="O141" s="12"/>
      <c r="P141" s="12">
        <f>L141</f>
        <v>1500000</v>
      </c>
      <c r="Q141" s="4">
        <f>F141+K141</f>
        <v>1500000</v>
      </c>
      <c r="T141" s="22"/>
    </row>
    <row r="142" spans="1:20" s="8" customFormat="1" ht="34.200000000000003" hidden="1" customHeight="1">
      <c r="A142" s="72">
        <v>1216017</v>
      </c>
      <c r="B142" s="66" t="s">
        <v>442</v>
      </c>
      <c r="C142" s="66" t="s">
        <v>68</v>
      </c>
      <c r="D142" s="37" t="s">
        <v>289</v>
      </c>
      <c r="E142" s="7"/>
      <c r="F142" s="4">
        <f t="shared" si="35"/>
        <v>0</v>
      </c>
      <c r="G142" s="4"/>
      <c r="H142" s="12"/>
      <c r="I142" s="12"/>
      <c r="J142" s="12"/>
      <c r="K142" s="4">
        <f t="shared" si="36"/>
        <v>0</v>
      </c>
      <c r="L142" s="4"/>
      <c r="M142" s="53"/>
      <c r="N142" s="4"/>
      <c r="O142" s="12"/>
      <c r="P142" s="12"/>
      <c r="Q142" s="4">
        <f t="shared" si="34"/>
        <v>0</v>
      </c>
      <c r="T142" s="22"/>
    </row>
    <row r="143" spans="1:20" s="8" customFormat="1" ht="75.599999999999994" customHeight="1">
      <c r="A143" s="73">
        <v>1216020</v>
      </c>
      <c r="B143" s="66" t="s">
        <v>443</v>
      </c>
      <c r="C143" s="70" t="s">
        <v>68</v>
      </c>
      <c r="D143" s="128" t="s">
        <v>264</v>
      </c>
      <c r="E143" s="7"/>
      <c r="F143" s="4">
        <f t="shared" si="35"/>
        <v>800000</v>
      </c>
      <c r="G143" s="4"/>
      <c r="H143" s="12"/>
      <c r="I143" s="12"/>
      <c r="J143" s="12">
        <f>500000+300000</f>
        <v>800000</v>
      </c>
      <c r="K143" s="4">
        <f t="shared" si="36"/>
        <v>0</v>
      </c>
      <c r="L143" s="4"/>
      <c r="M143" s="53"/>
      <c r="N143" s="4"/>
      <c r="O143" s="12"/>
      <c r="P143" s="12">
        <f>L143</f>
        <v>0</v>
      </c>
      <c r="Q143" s="4">
        <f t="shared" si="34"/>
        <v>800000</v>
      </c>
      <c r="T143" s="22"/>
    </row>
    <row r="144" spans="1:20" s="8" customFormat="1" ht="36.75" customHeight="1">
      <c r="A144" s="66" t="s">
        <v>194</v>
      </c>
      <c r="B144" s="66" t="s">
        <v>444</v>
      </c>
      <c r="C144" s="66" t="s">
        <v>68</v>
      </c>
      <c r="D144" s="119" t="s">
        <v>195</v>
      </c>
      <c r="E144" s="7" t="s">
        <v>46</v>
      </c>
      <c r="F144" s="41">
        <f t="shared" si="35"/>
        <v>20465187</v>
      </c>
      <c r="G144" s="41">
        <f>790000+150000+7200000+160000+1251196+2527126+6002000+800000-8140000+159625+310000+398950+53000+385000+385000+100000+30000+115200+113190+30000-700000-199900+40000-163000+253000+195000+195000-115200</f>
        <v>12325187</v>
      </c>
      <c r="H144" s="12"/>
      <c r="I144" s="12">
        <v>6002000</v>
      </c>
      <c r="J144" s="12">
        <v>8140000</v>
      </c>
      <c r="K144" s="41">
        <f t="shared" si="36"/>
        <v>530512.12</v>
      </c>
      <c r="L144" s="41">
        <f>150000+199750+90000+19000+199900-40000-90000</f>
        <v>528650</v>
      </c>
      <c r="M144" s="53">
        <v>1862.12</v>
      </c>
      <c r="N144" s="4"/>
      <c r="O144" s="12"/>
      <c r="P144" s="50">
        <f>L144</f>
        <v>528650</v>
      </c>
      <c r="Q144" s="41">
        <f t="shared" si="34"/>
        <v>20995699.120000001</v>
      </c>
      <c r="T144" s="22"/>
    </row>
    <row r="145" spans="1:20" s="26" customFormat="1" ht="21" customHeight="1">
      <c r="A145" s="72">
        <v>1217130</v>
      </c>
      <c r="B145" s="66" t="s">
        <v>377</v>
      </c>
      <c r="C145" s="66" t="s">
        <v>70</v>
      </c>
      <c r="D145" s="129" t="s">
        <v>116</v>
      </c>
      <c r="E145" s="13"/>
      <c r="F145" s="4">
        <f t="shared" si="35"/>
        <v>147150</v>
      </c>
      <c r="G145" s="4">
        <f>40000+80150+27000</f>
        <v>147150</v>
      </c>
      <c r="H145" s="54"/>
      <c r="I145" s="54"/>
      <c r="J145" s="4"/>
      <c r="K145" s="4">
        <f t="shared" si="36"/>
        <v>4845</v>
      </c>
      <c r="L145" s="4"/>
      <c r="M145" s="55">
        <v>4845</v>
      </c>
      <c r="N145" s="4"/>
      <c r="O145" s="4"/>
      <c r="P145" s="4"/>
      <c r="Q145" s="4">
        <f t="shared" si="34"/>
        <v>151995</v>
      </c>
      <c r="T145" s="24"/>
    </row>
    <row r="146" spans="1:20" s="8" customFormat="1" ht="34.950000000000003" hidden="1" customHeight="1">
      <c r="A146" s="66" t="s">
        <v>260</v>
      </c>
      <c r="B146" s="66" t="s">
        <v>445</v>
      </c>
      <c r="C146" s="66"/>
      <c r="D146" s="124" t="s">
        <v>500</v>
      </c>
      <c r="E146" s="13" t="s">
        <v>14</v>
      </c>
      <c r="F146" s="4">
        <f t="shared" si="35"/>
        <v>0</v>
      </c>
      <c r="G146" s="4"/>
      <c r="H146" s="12"/>
      <c r="I146" s="12"/>
      <c r="J146" s="12"/>
      <c r="K146" s="4">
        <f t="shared" si="36"/>
        <v>0</v>
      </c>
      <c r="L146" s="4"/>
      <c r="M146" s="53"/>
      <c r="N146" s="4"/>
      <c r="O146" s="12"/>
      <c r="P146" s="12">
        <f t="shared" ref="P146:P152" si="37">L146</f>
        <v>0</v>
      </c>
      <c r="Q146" s="4">
        <f t="shared" si="34"/>
        <v>0</v>
      </c>
      <c r="T146" s="22"/>
    </row>
    <row r="147" spans="1:20" s="8" customFormat="1" ht="40.5" customHeight="1">
      <c r="A147" s="66" t="s">
        <v>261</v>
      </c>
      <c r="B147" s="66" t="s">
        <v>392</v>
      </c>
      <c r="C147" s="67" t="s">
        <v>83</v>
      </c>
      <c r="D147" s="10" t="s">
        <v>501</v>
      </c>
      <c r="E147" s="13"/>
      <c r="F147" s="4">
        <f t="shared" si="35"/>
        <v>0</v>
      </c>
      <c r="G147" s="4"/>
      <c r="H147" s="12"/>
      <c r="I147" s="12"/>
      <c r="J147" s="12"/>
      <c r="K147" s="4">
        <f t="shared" si="36"/>
        <v>4549300</v>
      </c>
      <c r="L147" s="4">
        <f>5439300-890000</f>
        <v>4549300</v>
      </c>
      <c r="M147" s="53"/>
      <c r="N147" s="4"/>
      <c r="O147" s="12"/>
      <c r="P147" s="12">
        <f t="shared" si="37"/>
        <v>4549300</v>
      </c>
      <c r="Q147" s="4">
        <f t="shared" si="34"/>
        <v>4549300</v>
      </c>
      <c r="T147" s="22"/>
    </row>
    <row r="148" spans="1:20" s="8" customFormat="1" ht="40.5" customHeight="1">
      <c r="A148" s="66" t="s">
        <v>516</v>
      </c>
      <c r="B148" s="66" t="s">
        <v>446</v>
      </c>
      <c r="C148" s="67" t="s">
        <v>83</v>
      </c>
      <c r="D148" s="10" t="s">
        <v>489</v>
      </c>
      <c r="E148" s="13"/>
      <c r="F148" s="4"/>
      <c r="G148" s="4"/>
      <c r="H148" s="12"/>
      <c r="I148" s="12"/>
      <c r="J148" s="12"/>
      <c r="K148" s="4">
        <f t="shared" si="36"/>
        <v>350000</v>
      </c>
      <c r="L148" s="4">
        <v>350000</v>
      </c>
      <c r="M148" s="53"/>
      <c r="N148" s="4"/>
      <c r="O148" s="12"/>
      <c r="P148" s="12">
        <v>350000</v>
      </c>
      <c r="Q148" s="4">
        <f t="shared" si="34"/>
        <v>350000</v>
      </c>
      <c r="T148" s="22"/>
    </row>
    <row r="149" spans="1:20" s="8" customFormat="1" ht="35.4" customHeight="1">
      <c r="A149" s="66" t="s">
        <v>262</v>
      </c>
      <c r="B149" s="66" t="s">
        <v>447</v>
      </c>
      <c r="C149" s="67" t="s">
        <v>83</v>
      </c>
      <c r="D149" s="10" t="s">
        <v>494</v>
      </c>
      <c r="E149" s="13"/>
      <c r="F149" s="4">
        <f t="shared" si="35"/>
        <v>0</v>
      </c>
      <c r="G149" s="4"/>
      <c r="H149" s="12"/>
      <c r="I149" s="12"/>
      <c r="J149" s="12"/>
      <c r="K149" s="4">
        <f t="shared" si="36"/>
        <v>4000000</v>
      </c>
      <c r="L149" s="4">
        <v>4000000</v>
      </c>
      <c r="M149" s="53"/>
      <c r="N149" s="4"/>
      <c r="O149" s="12"/>
      <c r="P149" s="12">
        <f t="shared" si="37"/>
        <v>4000000</v>
      </c>
      <c r="Q149" s="4">
        <f t="shared" si="34"/>
        <v>4000000</v>
      </c>
      <c r="T149" s="22"/>
    </row>
    <row r="150" spans="1:20" s="8" customFormat="1" ht="3" hidden="1" customHeight="1">
      <c r="A150" s="66" t="s">
        <v>262</v>
      </c>
      <c r="B150" s="66" t="s">
        <v>447</v>
      </c>
      <c r="C150" s="66" t="s">
        <v>83</v>
      </c>
      <c r="D150" s="40" t="s">
        <v>306</v>
      </c>
      <c r="E150" s="7"/>
      <c r="F150" s="4">
        <f t="shared" si="35"/>
        <v>0</v>
      </c>
      <c r="G150" s="4"/>
      <c r="H150" s="12"/>
      <c r="I150" s="12"/>
      <c r="J150" s="12"/>
      <c r="K150" s="4">
        <f t="shared" si="36"/>
        <v>0</v>
      </c>
      <c r="L150" s="4"/>
      <c r="M150" s="53"/>
      <c r="N150" s="4"/>
      <c r="O150" s="12"/>
      <c r="P150" s="12">
        <f t="shared" si="37"/>
        <v>0</v>
      </c>
      <c r="Q150" s="4">
        <f t="shared" si="34"/>
        <v>0</v>
      </c>
      <c r="T150" s="22"/>
    </row>
    <row r="151" spans="1:20" s="8" customFormat="1" ht="39" customHeight="1">
      <c r="A151" s="66" t="s">
        <v>263</v>
      </c>
      <c r="B151" s="66" t="s">
        <v>448</v>
      </c>
      <c r="C151" s="66" t="s">
        <v>83</v>
      </c>
      <c r="D151" s="10" t="s">
        <v>502</v>
      </c>
      <c r="E151" s="7"/>
      <c r="F151" s="4">
        <f t="shared" si="35"/>
        <v>0</v>
      </c>
      <c r="G151" s="4"/>
      <c r="H151" s="12"/>
      <c r="I151" s="12"/>
      <c r="J151" s="12"/>
      <c r="K151" s="41">
        <f t="shared" si="36"/>
        <v>11136414.1</v>
      </c>
      <c r="L151" s="41">
        <f>9765668+4976385+120000+244190+166810+170000-569490-3685649-44147.8-7352.1</f>
        <v>11136414.1</v>
      </c>
      <c r="M151" s="53"/>
      <c r="N151" s="4"/>
      <c r="O151" s="12"/>
      <c r="P151" s="50">
        <f t="shared" si="37"/>
        <v>11136414.1</v>
      </c>
      <c r="Q151" s="4">
        <f t="shared" si="34"/>
        <v>11136414.1</v>
      </c>
      <c r="T151" s="22"/>
    </row>
    <row r="152" spans="1:20" s="8" customFormat="1" ht="38.25" customHeight="1">
      <c r="A152" s="66" t="s">
        <v>283</v>
      </c>
      <c r="B152" s="66" t="s">
        <v>449</v>
      </c>
      <c r="C152" s="66" t="s">
        <v>83</v>
      </c>
      <c r="D152" s="10" t="s">
        <v>303</v>
      </c>
      <c r="E152" s="7"/>
      <c r="F152" s="4">
        <f t="shared" si="35"/>
        <v>0</v>
      </c>
      <c r="G152" s="4"/>
      <c r="H152" s="12"/>
      <c r="I152" s="12"/>
      <c r="J152" s="12"/>
      <c r="K152" s="4">
        <f t="shared" si="36"/>
        <v>30000</v>
      </c>
      <c r="L152" s="4">
        <f>1966000-1936000</f>
        <v>30000</v>
      </c>
      <c r="M152" s="53"/>
      <c r="N152" s="4"/>
      <c r="O152" s="12"/>
      <c r="P152" s="12">
        <f t="shared" si="37"/>
        <v>30000</v>
      </c>
      <c r="Q152" s="4">
        <f t="shared" si="34"/>
        <v>30000</v>
      </c>
      <c r="T152" s="22"/>
    </row>
    <row r="153" spans="1:20" s="8" customFormat="1" ht="31.95" hidden="1" customHeight="1">
      <c r="A153" s="66" t="s">
        <v>196</v>
      </c>
      <c r="B153" s="66" t="s">
        <v>450</v>
      </c>
      <c r="C153" s="66" t="s">
        <v>83</v>
      </c>
      <c r="D153" s="119" t="s">
        <v>197</v>
      </c>
      <c r="E153" s="7" t="s">
        <v>15</v>
      </c>
      <c r="F153" s="4">
        <f t="shared" si="35"/>
        <v>0</v>
      </c>
      <c r="G153" s="4"/>
      <c r="H153" s="12"/>
      <c r="I153" s="12"/>
      <c r="J153" s="12"/>
      <c r="K153" s="4">
        <f t="shared" si="36"/>
        <v>0</v>
      </c>
      <c r="L153" s="4"/>
      <c r="M153" s="53"/>
      <c r="N153" s="4"/>
      <c r="O153" s="12"/>
      <c r="P153" s="12">
        <f t="shared" ref="P153:P158" si="38">L153</f>
        <v>0</v>
      </c>
      <c r="Q153" s="4">
        <f t="shared" si="34"/>
        <v>0</v>
      </c>
      <c r="T153" s="22"/>
    </row>
    <row r="154" spans="1:20" s="8" customFormat="1" ht="48.6" hidden="1" customHeight="1">
      <c r="A154" s="66" t="s">
        <v>272</v>
      </c>
      <c r="B154" s="66" t="s">
        <v>451</v>
      </c>
      <c r="C154" s="66" t="s">
        <v>210</v>
      </c>
      <c r="D154" s="10" t="s">
        <v>273</v>
      </c>
      <c r="E154" s="7"/>
      <c r="F154" s="4">
        <f t="shared" si="35"/>
        <v>0</v>
      </c>
      <c r="G154" s="4"/>
      <c r="H154" s="12"/>
      <c r="I154" s="12"/>
      <c r="J154" s="12"/>
      <c r="K154" s="4">
        <f t="shared" si="36"/>
        <v>0</v>
      </c>
      <c r="L154" s="4"/>
      <c r="M154" s="53"/>
      <c r="N154" s="4"/>
      <c r="O154" s="12"/>
      <c r="P154" s="12">
        <f t="shared" si="38"/>
        <v>0</v>
      </c>
      <c r="Q154" s="4">
        <f t="shared" si="34"/>
        <v>0</v>
      </c>
      <c r="T154" s="22"/>
    </row>
    <row r="155" spans="1:20" s="8" customFormat="1" ht="48.6" hidden="1" customHeight="1">
      <c r="A155" s="66" t="s">
        <v>333</v>
      </c>
      <c r="B155" s="66" t="s">
        <v>452</v>
      </c>
      <c r="C155" s="66" t="s">
        <v>210</v>
      </c>
      <c r="D155" s="10" t="s">
        <v>334</v>
      </c>
      <c r="E155" s="7"/>
      <c r="F155" s="4">
        <f t="shared" si="35"/>
        <v>0</v>
      </c>
      <c r="G155" s="4"/>
      <c r="H155" s="12"/>
      <c r="I155" s="12"/>
      <c r="J155" s="12"/>
      <c r="K155" s="4">
        <f t="shared" si="36"/>
        <v>0</v>
      </c>
      <c r="L155" s="4"/>
      <c r="M155" s="53"/>
      <c r="N155" s="4"/>
      <c r="O155" s="12"/>
      <c r="P155" s="12">
        <f t="shared" si="38"/>
        <v>0</v>
      </c>
      <c r="Q155" s="4">
        <f t="shared" si="34"/>
        <v>0</v>
      </c>
      <c r="T155" s="22"/>
    </row>
    <row r="156" spans="1:20" s="8" customFormat="1" ht="48.6" hidden="1" customHeight="1">
      <c r="A156" s="66" t="s">
        <v>275</v>
      </c>
      <c r="B156" s="66" t="s">
        <v>378</v>
      </c>
      <c r="C156" s="66" t="s">
        <v>210</v>
      </c>
      <c r="D156" s="10" t="s">
        <v>276</v>
      </c>
      <c r="E156" s="7"/>
      <c r="F156" s="4">
        <f t="shared" si="35"/>
        <v>0</v>
      </c>
      <c r="G156" s="4"/>
      <c r="H156" s="12"/>
      <c r="I156" s="12"/>
      <c r="J156" s="12"/>
      <c r="K156" s="4">
        <f t="shared" si="36"/>
        <v>0</v>
      </c>
      <c r="L156" s="41"/>
      <c r="M156" s="53"/>
      <c r="N156" s="41"/>
      <c r="O156" s="50"/>
      <c r="P156" s="50">
        <f t="shared" si="38"/>
        <v>0</v>
      </c>
      <c r="Q156" s="4">
        <f t="shared" si="34"/>
        <v>0</v>
      </c>
      <c r="T156" s="22"/>
    </row>
    <row r="157" spans="1:20" s="8" customFormat="1" ht="60" customHeight="1">
      <c r="A157" s="66" t="s">
        <v>196</v>
      </c>
      <c r="B157" s="66" t="s">
        <v>450</v>
      </c>
      <c r="C157" s="66" t="s">
        <v>83</v>
      </c>
      <c r="D157" s="10" t="s">
        <v>463</v>
      </c>
      <c r="E157" s="7"/>
      <c r="F157" s="4">
        <f t="shared" si="35"/>
        <v>0</v>
      </c>
      <c r="G157" s="4"/>
      <c r="H157" s="12"/>
      <c r="I157" s="12"/>
      <c r="J157" s="12"/>
      <c r="K157" s="4">
        <f t="shared" si="36"/>
        <v>55300</v>
      </c>
      <c r="L157" s="41">
        <f>55300</f>
        <v>55300</v>
      </c>
      <c r="M157" s="53"/>
      <c r="N157" s="41"/>
      <c r="O157" s="50"/>
      <c r="P157" s="50">
        <f t="shared" si="38"/>
        <v>55300</v>
      </c>
      <c r="Q157" s="4">
        <f t="shared" si="34"/>
        <v>55300</v>
      </c>
      <c r="T157" s="22"/>
    </row>
    <row r="158" spans="1:20" s="8" customFormat="1" ht="57" customHeight="1">
      <c r="A158" s="66" t="s">
        <v>271</v>
      </c>
      <c r="B158" s="66" t="s">
        <v>453</v>
      </c>
      <c r="C158" s="66" t="s">
        <v>257</v>
      </c>
      <c r="D158" s="63" t="s">
        <v>270</v>
      </c>
      <c r="E158" s="7"/>
      <c r="F158" s="41">
        <f t="shared" si="35"/>
        <v>16780770</v>
      </c>
      <c r="G158" s="41">
        <f>15984972+196867+26614+31318+40999+500000</f>
        <v>16780770</v>
      </c>
      <c r="H158" s="12"/>
      <c r="I158" s="12"/>
      <c r="J158" s="12"/>
      <c r="K158" s="41">
        <f t="shared" si="36"/>
        <v>25598833</v>
      </c>
      <c r="L158" s="4">
        <f>25886197-340798+45000</f>
        <v>25590399</v>
      </c>
      <c r="M158" s="53">
        <f>8434</f>
        <v>8434</v>
      </c>
      <c r="N158" s="4"/>
      <c r="O158" s="12"/>
      <c r="P158" s="12">
        <f t="shared" si="38"/>
        <v>25590399</v>
      </c>
      <c r="Q158" s="41">
        <f t="shared" si="34"/>
        <v>42379603</v>
      </c>
      <c r="T158" s="22"/>
    </row>
    <row r="159" spans="1:20" s="8" customFormat="1" ht="44.4" customHeight="1">
      <c r="A159" s="66" t="s">
        <v>478</v>
      </c>
      <c r="B159" s="66" t="s">
        <v>465</v>
      </c>
      <c r="C159" s="66" t="s">
        <v>466</v>
      </c>
      <c r="D159" s="119" t="s">
        <v>467</v>
      </c>
      <c r="E159" s="13"/>
      <c r="F159" s="4">
        <f t="shared" si="35"/>
        <v>5000</v>
      </c>
      <c r="G159" s="48">
        <v>5000</v>
      </c>
      <c r="H159" s="49"/>
      <c r="I159" s="49"/>
      <c r="J159" s="49"/>
      <c r="K159" s="4">
        <f t="shared" si="36"/>
        <v>0</v>
      </c>
      <c r="L159" s="48"/>
      <c r="M159" s="48"/>
      <c r="N159" s="48"/>
      <c r="O159" s="49"/>
      <c r="P159" s="49"/>
      <c r="Q159" s="4">
        <f>F159+K159</f>
        <v>5000</v>
      </c>
      <c r="T159" s="22"/>
    </row>
    <row r="160" spans="1:20" s="8" customFormat="1" ht="21" customHeight="1">
      <c r="A160" s="66" t="s">
        <v>479</v>
      </c>
      <c r="B160" s="66" t="s">
        <v>380</v>
      </c>
      <c r="C160" s="66" t="s">
        <v>86</v>
      </c>
      <c r="D160" s="119" t="s">
        <v>141</v>
      </c>
      <c r="E160" s="7"/>
      <c r="F160" s="4">
        <f t="shared" ref="F160:F167" si="39">G160+J160</f>
        <v>0</v>
      </c>
      <c r="G160" s="4"/>
      <c r="H160" s="12"/>
      <c r="I160" s="12"/>
      <c r="J160" s="12"/>
      <c r="K160" s="4">
        <f t="shared" si="36"/>
        <v>1248999</v>
      </c>
      <c r="L160" s="4">
        <v>1248999</v>
      </c>
      <c r="M160" s="53"/>
      <c r="N160" s="4"/>
      <c r="O160" s="12"/>
      <c r="P160" s="12">
        <v>1248999</v>
      </c>
      <c r="Q160" s="4">
        <f t="shared" si="34"/>
        <v>1248999</v>
      </c>
      <c r="T160" s="22"/>
    </row>
    <row r="161" spans="1:20" s="8" customFormat="1" ht="42.6" customHeight="1">
      <c r="A161" s="66" t="s">
        <v>254</v>
      </c>
      <c r="B161" s="66" t="s">
        <v>381</v>
      </c>
      <c r="C161" s="66" t="s">
        <v>210</v>
      </c>
      <c r="D161" s="119" t="s">
        <v>304</v>
      </c>
      <c r="E161" s="7"/>
      <c r="F161" s="4">
        <f t="shared" si="39"/>
        <v>0</v>
      </c>
      <c r="G161" s="4"/>
      <c r="H161" s="12"/>
      <c r="I161" s="12"/>
      <c r="J161" s="12"/>
      <c r="K161" s="4">
        <f>M161+P161</f>
        <v>5070000</v>
      </c>
      <c r="L161" s="4">
        <f>2250000+270000+1050000+1500000</f>
        <v>5070000</v>
      </c>
      <c r="M161" s="53"/>
      <c r="N161" s="4"/>
      <c r="O161" s="12"/>
      <c r="P161" s="12">
        <f>2250000+270000+1050000+1500000</f>
        <v>5070000</v>
      </c>
      <c r="Q161" s="4">
        <f>F161+K161</f>
        <v>5070000</v>
      </c>
      <c r="T161" s="22"/>
    </row>
    <row r="162" spans="1:20" s="8" customFormat="1" ht="42.6" customHeight="1">
      <c r="A162" s="66" t="s">
        <v>505</v>
      </c>
      <c r="B162" s="66" t="s">
        <v>506</v>
      </c>
      <c r="C162" s="66" t="s">
        <v>210</v>
      </c>
      <c r="D162" s="119" t="s">
        <v>507</v>
      </c>
      <c r="E162" s="7"/>
      <c r="F162" s="4">
        <f>G162+J162</f>
        <v>316233</v>
      </c>
      <c r="G162" s="4">
        <v>0</v>
      </c>
      <c r="H162" s="12"/>
      <c r="I162" s="12"/>
      <c r="J162" s="12">
        <f>142000+174233</f>
        <v>316233</v>
      </c>
      <c r="K162" s="4"/>
      <c r="L162" s="4"/>
      <c r="M162" s="53"/>
      <c r="N162" s="4"/>
      <c r="O162" s="12"/>
      <c r="P162" s="12"/>
      <c r="Q162" s="4"/>
      <c r="T162" s="22"/>
    </row>
    <row r="163" spans="1:20" s="8" customFormat="1" ht="61.2" customHeight="1">
      <c r="A163" s="66" t="s">
        <v>198</v>
      </c>
      <c r="B163" s="66" t="s">
        <v>383</v>
      </c>
      <c r="C163" s="66" t="s">
        <v>71</v>
      </c>
      <c r="D163" s="119" t="s">
        <v>238</v>
      </c>
      <c r="E163" s="7" t="s">
        <v>39</v>
      </c>
      <c r="F163" s="4">
        <f t="shared" si="39"/>
        <v>60000</v>
      </c>
      <c r="G163" s="4">
        <v>60000</v>
      </c>
      <c r="H163" s="12"/>
      <c r="I163" s="12"/>
      <c r="J163" s="12"/>
      <c r="K163" s="4">
        <f t="shared" si="36"/>
        <v>0</v>
      </c>
      <c r="L163" s="4"/>
      <c r="M163" s="53"/>
      <c r="N163" s="4"/>
      <c r="O163" s="12"/>
      <c r="P163" s="12">
        <f>L163</f>
        <v>0</v>
      </c>
      <c r="Q163" s="4">
        <f t="shared" si="34"/>
        <v>60000</v>
      </c>
      <c r="T163" s="22"/>
    </row>
    <row r="164" spans="1:20" s="8" customFormat="1" ht="19.95" customHeight="1">
      <c r="A164" s="66" t="s">
        <v>199</v>
      </c>
      <c r="B164" s="66" t="s">
        <v>394</v>
      </c>
      <c r="C164" s="66" t="s">
        <v>71</v>
      </c>
      <c r="D164" s="119" t="s">
        <v>200</v>
      </c>
      <c r="E164" s="7" t="s">
        <v>19</v>
      </c>
      <c r="F164" s="4">
        <f t="shared" si="39"/>
        <v>100000</v>
      </c>
      <c r="G164" s="4">
        <v>100000</v>
      </c>
      <c r="H164" s="12"/>
      <c r="I164" s="12"/>
      <c r="J164" s="12"/>
      <c r="K164" s="4">
        <f t="shared" si="36"/>
        <v>0</v>
      </c>
      <c r="L164" s="4"/>
      <c r="M164" s="53"/>
      <c r="N164" s="4"/>
      <c r="O164" s="12"/>
      <c r="P164" s="12"/>
      <c r="Q164" s="4">
        <f t="shared" si="34"/>
        <v>100000</v>
      </c>
      <c r="T164" s="22"/>
    </row>
    <row r="165" spans="1:20" s="8" customFormat="1" ht="36.6" customHeight="1">
      <c r="A165" s="68" t="s">
        <v>480</v>
      </c>
      <c r="B165" s="68" t="s">
        <v>469</v>
      </c>
      <c r="C165" s="68" t="s">
        <v>470</v>
      </c>
      <c r="D165" s="120" t="s">
        <v>471</v>
      </c>
      <c r="E165" s="7" t="s">
        <v>4</v>
      </c>
      <c r="F165" s="48">
        <f t="shared" si="39"/>
        <v>300000</v>
      </c>
      <c r="G165" s="48">
        <v>300000</v>
      </c>
      <c r="H165" s="49"/>
      <c r="I165" s="49"/>
      <c r="J165" s="49"/>
      <c r="K165" s="4">
        <f t="shared" si="36"/>
        <v>0</v>
      </c>
      <c r="L165" s="48"/>
      <c r="M165" s="48"/>
      <c r="N165" s="48"/>
      <c r="O165" s="49"/>
      <c r="P165" s="49"/>
      <c r="Q165" s="4">
        <f t="shared" si="34"/>
        <v>300000</v>
      </c>
      <c r="T165" s="22"/>
    </row>
    <row r="166" spans="1:20" s="8" customFormat="1" ht="43.2" customHeight="1">
      <c r="A166" s="66" t="s">
        <v>208</v>
      </c>
      <c r="B166" s="66" t="s">
        <v>454</v>
      </c>
      <c r="C166" s="66" t="s">
        <v>201</v>
      </c>
      <c r="D166" s="119" t="s">
        <v>209</v>
      </c>
      <c r="E166" s="7" t="s">
        <v>56</v>
      </c>
      <c r="F166" s="4">
        <f t="shared" si="39"/>
        <v>0</v>
      </c>
      <c r="G166" s="4"/>
      <c r="H166" s="12"/>
      <c r="I166" s="12"/>
      <c r="J166" s="12"/>
      <c r="K166" s="41">
        <f t="shared" si="36"/>
        <v>769036</v>
      </c>
      <c r="L166" s="4"/>
      <c r="M166" s="53">
        <f>562900+206136</f>
        <v>769036</v>
      </c>
      <c r="N166" s="4"/>
      <c r="O166" s="12"/>
      <c r="P166" s="12"/>
      <c r="Q166" s="41">
        <f t="shared" si="34"/>
        <v>769036</v>
      </c>
      <c r="T166" s="22"/>
    </row>
    <row r="167" spans="1:20" s="8" customFormat="1" ht="43.2" customHeight="1">
      <c r="A167" s="66" t="s">
        <v>508</v>
      </c>
      <c r="B167" s="66" t="s">
        <v>509</v>
      </c>
      <c r="C167" s="66" t="s">
        <v>510</v>
      </c>
      <c r="D167" s="119" t="s">
        <v>511</v>
      </c>
      <c r="E167" s="7"/>
      <c r="F167" s="4">
        <f t="shared" si="39"/>
        <v>0</v>
      </c>
      <c r="G167" s="4"/>
      <c r="H167" s="12"/>
      <c r="I167" s="12"/>
      <c r="J167" s="12"/>
      <c r="K167" s="41">
        <f t="shared" si="36"/>
        <v>370000</v>
      </c>
      <c r="L167" s="4"/>
      <c r="M167" s="53"/>
      <c r="N167" s="4"/>
      <c r="O167" s="12"/>
      <c r="P167" s="12">
        <v>370000</v>
      </c>
      <c r="Q167" s="41">
        <f t="shared" si="34"/>
        <v>370000</v>
      </c>
      <c r="T167" s="22"/>
    </row>
    <row r="168" spans="1:20" s="8" customFormat="1" ht="52.95" customHeight="1">
      <c r="A168" s="74" t="s">
        <v>345</v>
      </c>
      <c r="B168" s="101">
        <v>3100000</v>
      </c>
      <c r="C168" s="74"/>
      <c r="D168" s="102" t="s">
        <v>495</v>
      </c>
      <c r="E168" s="83"/>
      <c r="F168" s="77">
        <f>F169</f>
        <v>3178400</v>
      </c>
      <c r="G168" s="77">
        <f t="shared" ref="G168:P168" si="40">G169</f>
        <v>3178400</v>
      </c>
      <c r="H168" s="78">
        <f t="shared" si="40"/>
        <v>2875700</v>
      </c>
      <c r="I168" s="78">
        <f t="shared" si="40"/>
        <v>81250</v>
      </c>
      <c r="J168" s="78">
        <f t="shared" si="40"/>
        <v>0</v>
      </c>
      <c r="K168" s="78">
        <f t="shared" si="40"/>
        <v>36000</v>
      </c>
      <c r="L168" s="78">
        <f t="shared" si="40"/>
        <v>36000</v>
      </c>
      <c r="M168" s="78">
        <f t="shared" si="40"/>
        <v>0</v>
      </c>
      <c r="N168" s="78">
        <f t="shared" si="40"/>
        <v>0</v>
      </c>
      <c r="O168" s="78">
        <f t="shared" si="40"/>
        <v>0</v>
      </c>
      <c r="P168" s="78">
        <f t="shared" si="40"/>
        <v>36000</v>
      </c>
      <c r="Q168" s="78">
        <f>F168+K168</f>
        <v>3214400</v>
      </c>
      <c r="T168" s="22"/>
    </row>
    <row r="169" spans="1:20" s="8" customFormat="1" ht="39" customHeight="1">
      <c r="A169" s="79" t="s">
        <v>346</v>
      </c>
      <c r="B169" s="103">
        <v>3110000</v>
      </c>
      <c r="C169" s="79"/>
      <c r="D169" s="104" t="str">
        <f>D168</f>
        <v>Управління комунального майна  та земельних відносин</v>
      </c>
      <c r="E169" s="85"/>
      <c r="F169" s="87">
        <f>SUM(F170:F175)</f>
        <v>3178400</v>
      </c>
      <c r="G169" s="87">
        <f t="shared" ref="G169:P169" si="41">SUM(G170:G175)</f>
        <v>3178400</v>
      </c>
      <c r="H169" s="87">
        <f t="shared" si="41"/>
        <v>2875700</v>
      </c>
      <c r="I169" s="87">
        <f t="shared" si="41"/>
        <v>81250</v>
      </c>
      <c r="J169" s="87">
        <f t="shared" si="41"/>
        <v>0</v>
      </c>
      <c r="K169" s="87">
        <f t="shared" si="41"/>
        <v>36000</v>
      </c>
      <c r="L169" s="87">
        <f t="shared" si="41"/>
        <v>36000</v>
      </c>
      <c r="M169" s="87">
        <f t="shared" si="41"/>
        <v>0</v>
      </c>
      <c r="N169" s="87">
        <f t="shared" si="41"/>
        <v>0</v>
      </c>
      <c r="O169" s="87">
        <f t="shared" si="41"/>
        <v>0</v>
      </c>
      <c r="P169" s="87">
        <f t="shared" si="41"/>
        <v>36000</v>
      </c>
      <c r="Q169" s="82">
        <f t="shared" ref="Q169:Q175" si="42">F169+K169</f>
        <v>3214400</v>
      </c>
      <c r="T169" s="22"/>
    </row>
    <row r="170" spans="1:20" s="8" customFormat="1" ht="73.95" customHeight="1">
      <c r="A170" s="66" t="s">
        <v>347</v>
      </c>
      <c r="B170" s="66" t="s">
        <v>358</v>
      </c>
      <c r="C170" s="66" t="s">
        <v>61</v>
      </c>
      <c r="D170" s="117" t="s">
        <v>305</v>
      </c>
      <c r="E170" s="7"/>
      <c r="F170" s="4">
        <f>G170</f>
        <v>3042400</v>
      </c>
      <c r="G170" s="4">
        <f>2905400+137000</f>
        <v>3042400</v>
      </c>
      <c r="H170" s="12">
        <f>2738700+137000</f>
        <v>2875700</v>
      </c>
      <c r="I170" s="12">
        <f>77350+3900</f>
        <v>81250</v>
      </c>
      <c r="J170" s="12"/>
      <c r="K170" s="4">
        <f t="shared" ref="K170:K175" si="43">M170+P170</f>
        <v>0</v>
      </c>
      <c r="L170" s="4"/>
      <c r="M170" s="53"/>
      <c r="N170" s="4"/>
      <c r="O170" s="12"/>
      <c r="P170" s="12">
        <f>L170</f>
        <v>0</v>
      </c>
      <c r="Q170" s="4">
        <f t="shared" si="42"/>
        <v>3042400</v>
      </c>
      <c r="T170" s="22"/>
    </row>
    <row r="171" spans="1:20" s="8" customFormat="1" ht="36" customHeight="1">
      <c r="A171" s="66" t="s">
        <v>348</v>
      </c>
      <c r="B171" s="66" t="s">
        <v>280</v>
      </c>
      <c r="C171" s="66" t="s">
        <v>72</v>
      </c>
      <c r="D171" s="117" t="s">
        <v>139</v>
      </c>
      <c r="E171" s="7"/>
      <c r="F171" s="41">
        <f>G171</f>
        <v>36000</v>
      </c>
      <c r="G171" s="41">
        <f>35000+1000</f>
        <v>36000</v>
      </c>
      <c r="H171" s="12"/>
      <c r="I171" s="12"/>
      <c r="J171" s="12"/>
      <c r="K171" s="4">
        <f t="shared" si="43"/>
        <v>0</v>
      </c>
      <c r="L171" s="4"/>
      <c r="M171" s="53"/>
      <c r="N171" s="4"/>
      <c r="O171" s="12"/>
      <c r="P171" s="12"/>
      <c r="Q171" s="4">
        <f t="shared" si="42"/>
        <v>36000</v>
      </c>
      <c r="T171" s="22"/>
    </row>
    <row r="172" spans="1:20" s="8" customFormat="1" ht="20.25" customHeight="1">
      <c r="A172" s="66" t="s">
        <v>349</v>
      </c>
      <c r="B172" s="66" t="s">
        <v>377</v>
      </c>
      <c r="C172" s="66" t="s">
        <v>70</v>
      </c>
      <c r="D172" s="129" t="s">
        <v>116</v>
      </c>
      <c r="E172" s="7"/>
      <c r="F172" s="41">
        <f>G172</f>
        <v>65000</v>
      </c>
      <c r="G172" s="41">
        <v>65000</v>
      </c>
      <c r="H172" s="12"/>
      <c r="I172" s="12"/>
      <c r="J172" s="12"/>
      <c r="K172" s="4">
        <f t="shared" si="43"/>
        <v>0</v>
      </c>
      <c r="L172" s="4"/>
      <c r="M172" s="53"/>
      <c r="N172" s="4"/>
      <c r="O172" s="12"/>
      <c r="P172" s="12"/>
      <c r="Q172" s="4">
        <f t="shared" si="42"/>
        <v>65000</v>
      </c>
      <c r="T172" s="22"/>
    </row>
    <row r="173" spans="1:20" s="8" customFormat="1" ht="37.950000000000003" customHeight="1">
      <c r="A173" s="66" t="s">
        <v>350</v>
      </c>
      <c r="B173" s="66" t="s">
        <v>455</v>
      </c>
      <c r="C173" s="66" t="s">
        <v>210</v>
      </c>
      <c r="D173" s="118" t="s">
        <v>265</v>
      </c>
      <c r="E173" s="7"/>
      <c r="F173" s="4">
        <f>G173</f>
        <v>0</v>
      </c>
      <c r="G173" s="4"/>
      <c r="H173" s="12"/>
      <c r="I173" s="12"/>
      <c r="J173" s="12"/>
      <c r="K173" s="4">
        <f t="shared" si="43"/>
        <v>11000</v>
      </c>
      <c r="L173" s="4">
        <v>11000</v>
      </c>
      <c r="M173" s="53"/>
      <c r="N173" s="4"/>
      <c r="O173" s="12"/>
      <c r="P173" s="12">
        <f>L173</f>
        <v>11000</v>
      </c>
      <c r="Q173" s="4">
        <f t="shared" si="42"/>
        <v>11000</v>
      </c>
      <c r="T173" s="22"/>
    </row>
    <row r="174" spans="1:20" s="8" customFormat="1" ht="39" customHeight="1">
      <c r="A174" s="66" t="s">
        <v>481</v>
      </c>
      <c r="B174" s="66" t="s">
        <v>465</v>
      </c>
      <c r="C174" s="66" t="s">
        <v>466</v>
      </c>
      <c r="D174" s="119" t="s">
        <v>467</v>
      </c>
      <c r="E174" s="7"/>
      <c r="F174" s="4">
        <f>G174+J174</f>
        <v>35000</v>
      </c>
      <c r="G174" s="4">
        <v>35000</v>
      </c>
      <c r="H174" s="12"/>
      <c r="I174" s="12"/>
      <c r="J174" s="12"/>
      <c r="K174" s="4">
        <f t="shared" si="43"/>
        <v>25000</v>
      </c>
      <c r="L174" s="4">
        <v>25000</v>
      </c>
      <c r="M174" s="4"/>
      <c r="N174" s="4"/>
      <c r="O174" s="12"/>
      <c r="P174" s="12">
        <v>25000</v>
      </c>
      <c r="Q174" s="4">
        <f>F174+K174</f>
        <v>60000</v>
      </c>
      <c r="T174" s="22"/>
    </row>
    <row r="175" spans="1:20" s="8" customFormat="1" ht="81.75" hidden="1" customHeight="1">
      <c r="A175" s="66" t="s">
        <v>351</v>
      </c>
      <c r="B175" s="66" t="s">
        <v>456</v>
      </c>
      <c r="C175" s="66" t="s">
        <v>210</v>
      </c>
      <c r="D175" s="38" t="s">
        <v>256</v>
      </c>
      <c r="E175" s="7"/>
      <c r="F175" s="4">
        <f>G175</f>
        <v>0</v>
      </c>
      <c r="G175" s="4"/>
      <c r="H175" s="12"/>
      <c r="I175" s="12"/>
      <c r="J175" s="12"/>
      <c r="K175" s="4">
        <f t="shared" si="43"/>
        <v>0</v>
      </c>
      <c r="L175" s="4"/>
      <c r="M175" s="53"/>
      <c r="N175" s="4"/>
      <c r="O175" s="12"/>
      <c r="P175" s="12">
        <f>L175</f>
        <v>0</v>
      </c>
      <c r="Q175" s="4">
        <f t="shared" si="42"/>
        <v>0</v>
      </c>
      <c r="T175" s="22"/>
    </row>
    <row r="176" spans="1:20" s="26" customFormat="1" ht="42.6" customHeight="1">
      <c r="A176" s="74" t="s">
        <v>202</v>
      </c>
      <c r="B176" s="105">
        <v>3700000</v>
      </c>
      <c r="C176" s="83"/>
      <c r="D176" s="84" t="s">
        <v>5</v>
      </c>
      <c r="E176" s="83" t="s">
        <v>5</v>
      </c>
      <c r="F176" s="106">
        <f>F177</f>
        <v>15301447.9</v>
      </c>
      <c r="G176" s="106">
        <f t="shared" ref="G176:P176" si="44">G177</f>
        <v>5751364</v>
      </c>
      <c r="H176" s="78">
        <f t="shared" si="44"/>
        <v>4992000</v>
      </c>
      <c r="I176" s="78">
        <f t="shared" si="44"/>
        <v>114000</v>
      </c>
      <c r="J176" s="78">
        <f t="shared" si="44"/>
        <v>2000000</v>
      </c>
      <c r="K176" s="77">
        <f t="shared" si="44"/>
        <v>60000</v>
      </c>
      <c r="L176" s="78">
        <f t="shared" si="44"/>
        <v>60000</v>
      </c>
      <c r="M176" s="78">
        <f t="shared" si="44"/>
        <v>0</v>
      </c>
      <c r="N176" s="78">
        <f t="shared" si="44"/>
        <v>0</v>
      </c>
      <c r="O176" s="78">
        <f t="shared" si="44"/>
        <v>0</v>
      </c>
      <c r="P176" s="78">
        <f t="shared" si="44"/>
        <v>60000</v>
      </c>
      <c r="Q176" s="77">
        <f t="shared" si="34"/>
        <v>15361447.9</v>
      </c>
      <c r="R176" s="14"/>
      <c r="T176" s="24"/>
    </row>
    <row r="177" spans="1:20" s="26" customFormat="1" ht="40.950000000000003" customHeight="1">
      <c r="A177" s="79" t="s">
        <v>203</v>
      </c>
      <c r="B177" s="107">
        <v>3710000</v>
      </c>
      <c r="C177" s="85"/>
      <c r="D177" s="86" t="str">
        <f>D176</f>
        <v>Фінансове управління міської ради</v>
      </c>
      <c r="E177" s="85"/>
      <c r="F177" s="108">
        <f>SUM(F178:F186)</f>
        <v>15301447.9</v>
      </c>
      <c r="G177" s="108">
        <f t="shared" ref="G177:P177" si="45">SUM(G178:G186)</f>
        <v>5751364</v>
      </c>
      <c r="H177" s="108">
        <f t="shared" si="45"/>
        <v>4992000</v>
      </c>
      <c r="I177" s="108">
        <f t="shared" si="45"/>
        <v>114000</v>
      </c>
      <c r="J177" s="108">
        <f t="shared" si="45"/>
        <v>2000000</v>
      </c>
      <c r="K177" s="108">
        <f t="shared" si="45"/>
        <v>60000</v>
      </c>
      <c r="L177" s="108">
        <f t="shared" si="45"/>
        <v>60000</v>
      </c>
      <c r="M177" s="108">
        <f t="shared" si="45"/>
        <v>0</v>
      </c>
      <c r="N177" s="108">
        <f t="shared" si="45"/>
        <v>0</v>
      </c>
      <c r="O177" s="108">
        <f t="shared" si="45"/>
        <v>0</v>
      </c>
      <c r="P177" s="108">
        <f t="shared" si="45"/>
        <v>60000</v>
      </c>
      <c r="Q177" s="87">
        <f t="shared" si="34"/>
        <v>15361447.9</v>
      </c>
      <c r="R177" s="14"/>
      <c r="T177" s="24"/>
    </row>
    <row r="178" spans="1:20" s="8" customFormat="1" ht="74.400000000000006" customHeight="1">
      <c r="A178" s="66" t="s">
        <v>204</v>
      </c>
      <c r="B178" s="66" t="s">
        <v>358</v>
      </c>
      <c r="C178" s="66" t="s">
        <v>61</v>
      </c>
      <c r="D178" s="117" t="s">
        <v>305</v>
      </c>
      <c r="E178" s="7" t="s">
        <v>2</v>
      </c>
      <c r="F178" s="4">
        <f>G178+J178</f>
        <v>5310512</v>
      </c>
      <c r="G178" s="4">
        <f>5063500+12+247000</f>
        <v>5310512</v>
      </c>
      <c r="H178" s="12">
        <f>4745000+247000</f>
        <v>4992000</v>
      </c>
      <c r="I178" s="12">
        <v>114000</v>
      </c>
      <c r="J178" s="12"/>
      <c r="K178" s="4">
        <f t="shared" ref="K178:K186" si="46">M178+P178</f>
        <v>10000</v>
      </c>
      <c r="L178" s="4">
        <v>10000</v>
      </c>
      <c r="M178" s="12"/>
      <c r="N178" s="4"/>
      <c r="O178" s="12"/>
      <c r="P178" s="12">
        <v>10000</v>
      </c>
      <c r="Q178" s="4">
        <f t="shared" si="34"/>
        <v>5320512</v>
      </c>
      <c r="T178" s="22"/>
    </row>
    <row r="179" spans="1:20" s="8" customFormat="1" ht="34.950000000000003" customHeight="1">
      <c r="A179" s="66" t="s">
        <v>253</v>
      </c>
      <c r="B179" s="66" t="s">
        <v>280</v>
      </c>
      <c r="C179" s="66" t="s">
        <v>72</v>
      </c>
      <c r="D179" s="117" t="s">
        <v>139</v>
      </c>
      <c r="E179" s="7"/>
      <c r="F179" s="41">
        <f>G179+J179</f>
        <v>3250</v>
      </c>
      <c r="G179" s="41">
        <f>2250+1000</f>
        <v>3250</v>
      </c>
      <c r="H179" s="12"/>
      <c r="I179" s="12"/>
      <c r="J179" s="12"/>
      <c r="K179" s="4">
        <f t="shared" si="46"/>
        <v>0</v>
      </c>
      <c r="L179" s="4"/>
      <c r="M179" s="12"/>
      <c r="N179" s="4"/>
      <c r="O179" s="12"/>
      <c r="P179" s="12"/>
      <c r="Q179" s="4">
        <f t="shared" si="34"/>
        <v>3250</v>
      </c>
      <c r="T179" s="22"/>
    </row>
    <row r="180" spans="1:20" s="8" customFormat="1" ht="44.4" customHeight="1">
      <c r="A180" s="66" t="s">
        <v>482</v>
      </c>
      <c r="B180" s="66" t="s">
        <v>465</v>
      </c>
      <c r="C180" s="66" t="s">
        <v>466</v>
      </c>
      <c r="D180" s="119" t="s">
        <v>467</v>
      </c>
      <c r="E180" s="13"/>
      <c r="F180" s="4">
        <f>G180+J180</f>
        <v>60000</v>
      </c>
      <c r="G180" s="48">
        <v>60000</v>
      </c>
      <c r="H180" s="49"/>
      <c r="I180" s="49"/>
      <c r="J180" s="49"/>
      <c r="K180" s="4">
        <f t="shared" si="46"/>
        <v>50000</v>
      </c>
      <c r="L180" s="48">
        <v>50000</v>
      </c>
      <c r="M180" s="48"/>
      <c r="N180" s="48"/>
      <c r="O180" s="49"/>
      <c r="P180" s="49">
        <v>50000</v>
      </c>
      <c r="Q180" s="4">
        <f>F180+K180</f>
        <v>110000</v>
      </c>
      <c r="T180" s="22"/>
    </row>
    <row r="181" spans="1:20" s="8" customFormat="1" ht="32.25" hidden="1" customHeight="1">
      <c r="A181" s="66" t="s">
        <v>336</v>
      </c>
      <c r="B181" s="66" t="s">
        <v>457</v>
      </c>
      <c r="C181" s="66" t="s">
        <v>280</v>
      </c>
      <c r="D181" s="117" t="s">
        <v>337</v>
      </c>
      <c r="E181" s="7"/>
      <c r="F181" s="41">
        <f>G181+J181</f>
        <v>0</v>
      </c>
      <c r="G181" s="41"/>
      <c r="H181" s="12"/>
      <c r="I181" s="12"/>
      <c r="J181" s="56"/>
      <c r="K181" s="4"/>
      <c r="L181" s="4"/>
      <c r="M181" s="12"/>
      <c r="N181" s="4"/>
      <c r="O181" s="12"/>
      <c r="P181" s="12"/>
      <c r="Q181" s="4">
        <f t="shared" si="34"/>
        <v>0</v>
      </c>
      <c r="T181" s="22"/>
    </row>
    <row r="182" spans="1:20" s="8" customFormat="1" ht="39" customHeight="1">
      <c r="A182" s="66" t="s">
        <v>315</v>
      </c>
      <c r="B182" s="66" t="s">
        <v>458</v>
      </c>
      <c r="C182" s="66" t="s">
        <v>316</v>
      </c>
      <c r="D182" s="117" t="s">
        <v>317</v>
      </c>
      <c r="E182" s="7"/>
      <c r="F182" s="4">
        <f>G182+J182</f>
        <v>277602</v>
      </c>
      <c r="G182" s="4">
        <v>277602</v>
      </c>
      <c r="H182" s="12"/>
      <c r="I182" s="12"/>
      <c r="J182" s="12"/>
      <c r="K182" s="4">
        <f t="shared" si="46"/>
        <v>0</v>
      </c>
      <c r="L182" s="4"/>
      <c r="M182" s="12"/>
      <c r="N182" s="4"/>
      <c r="O182" s="12"/>
      <c r="P182" s="12"/>
      <c r="Q182" s="4">
        <f t="shared" si="34"/>
        <v>277602</v>
      </c>
      <c r="T182" s="22"/>
    </row>
    <row r="183" spans="1:20" s="8" customFormat="1" ht="39" customHeight="1">
      <c r="A183" s="66" t="s">
        <v>205</v>
      </c>
      <c r="B183" s="66" t="s">
        <v>459</v>
      </c>
      <c r="C183" s="66" t="s">
        <v>72</v>
      </c>
      <c r="D183" s="117" t="s">
        <v>92</v>
      </c>
      <c r="E183" s="7"/>
      <c r="F183" s="41">
        <f>2828295+3666706+4383689+100000-3000000-211500-2828295+986000+700000-400000-986000+2255988.9-60000+115200</f>
        <v>7550083.9000000004</v>
      </c>
      <c r="G183" s="4"/>
      <c r="H183" s="12"/>
      <c r="I183" s="12"/>
      <c r="J183" s="12"/>
      <c r="K183" s="4">
        <f t="shared" si="46"/>
        <v>0</v>
      </c>
      <c r="L183" s="4"/>
      <c r="M183" s="12"/>
      <c r="N183" s="4"/>
      <c r="O183" s="12"/>
      <c r="P183" s="12"/>
      <c r="Q183" s="41">
        <f>F183+K183</f>
        <v>7550083.9000000004</v>
      </c>
      <c r="T183" s="22"/>
    </row>
    <row r="184" spans="1:20" s="8" customFormat="1" ht="22.5" hidden="1" customHeight="1">
      <c r="A184" s="66" t="s">
        <v>286</v>
      </c>
      <c r="B184" s="66" t="s">
        <v>460</v>
      </c>
      <c r="C184" s="66" t="s">
        <v>280</v>
      </c>
      <c r="D184" s="36" t="s">
        <v>287</v>
      </c>
      <c r="E184" s="7"/>
      <c r="F184" s="4">
        <f>G184+J184</f>
        <v>0</v>
      </c>
      <c r="G184" s="4"/>
      <c r="H184" s="12"/>
      <c r="I184" s="12"/>
      <c r="J184" s="56"/>
      <c r="K184" s="4">
        <f t="shared" si="46"/>
        <v>0</v>
      </c>
      <c r="L184" s="4"/>
      <c r="M184" s="12"/>
      <c r="N184" s="4"/>
      <c r="O184" s="12"/>
      <c r="P184" s="12"/>
      <c r="Q184" s="4">
        <f t="shared" si="34"/>
        <v>0</v>
      </c>
      <c r="T184" s="22"/>
    </row>
    <row r="185" spans="1:20" s="8" customFormat="1" ht="36.6" customHeight="1">
      <c r="A185" s="66" t="s">
        <v>286</v>
      </c>
      <c r="B185" s="66" t="s">
        <v>460</v>
      </c>
      <c r="C185" s="66" t="s">
        <v>280</v>
      </c>
      <c r="D185" s="36" t="s">
        <v>287</v>
      </c>
      <c r="E185" s="7"/>
      <c r="F185" s="4">
        <f>G185+J185</f>
        <v>2000000</v>
      </c>
      <c r="G185" s="4"/>
      <c r="H185" s="12"/>
      <c r="I185" s="12"/>
      <c r="J185" s="12">
        <v>2000000</v>
      </c>
      <c r="K185" s="4"/>
      <c r="L185" s="4"/>
      <c r="M185" s="12"/>
      <c r="N185" s="4"/>
      <c r="O185" s="12"/>
      <c r="P185" s="12"/>
      <c r="Q185" s="4"/>
      <c r="T185" s="22"/>
    </row>
    <row r="186" spans="1:20" s="8" customFormat="1" ht="75.599999999999994" customHeight="1">
      <c r="A186" s="66" t="s">
        <v>281</v>
      </c>
      <c r="B186" s="66" t="s">
        <v>461</v>
      </c>
      <c r="C186" s="66" t="s">
        <v>280</v>
      </c>
      <c r="D186" s="117" t="s">
        <v>282</v>
      </c>
      <c r="E186" s="7"/>
      <c r="F186" s="4">
        <f>G186+J186</f>
        <v>100000</v>
      </c>
      <c r="G186" s="4">
        <v>100000</v>
      </c>
      <c r="H186" s="12"/>
      <c r="I186" s="12"/>
      <c r="J186" s="12"/>
      <c r="K186" s="4">
        <f t="shared" si="46"/>
        <v>0</v>
      </c>
      <c r="L186" s="4"/>
      <c r="M186" s="12"/>
      <c r="N186" s="4"/>
      <c r="O186" s="12"/>
      <c r="P186" s="12"/>
      <c r="Q186" s="4">
        <f t="shared" si="34"/>
        <v>100000</v>
      </c>
      <c r="T186" s="22"/>
    </row>
    <row r="187" spans="1:20" s="15" customFormat="1" ht="51" customHeight="1">
      <c r="A187" s="109"/>
      <c r="B187" s="109"/>
      <c r="C187" s="109"/>
      <c r="D187" s="110" t="s">
        <v>206</v>
      </c>
      <c r="E187" s="109" t="s">
        <v>13</v>
      </c>
      <c r="F187" s="77">
        <f>F11+F47+F109+F121+F131+F176+F67+F168</f>
        <v>411824280.57999992</v>
      </c>
      <c r="G187" s="77">
        <f>G11+G47+G109+G121+G131+G176+G67+G168</f>
        <v>391786559.67999995</v>
      </c>
      <c r="H187" s="77">
        <f>H11+H47+H109+H121+H131+H176+H67+H168</f>
        <v>251856036.41</v>
      </c>
      <c r="I187" s="77">
        <f>I11+I47+I109+I121+I131+I176+I67+I168</f>
        <v>35680580</v>
      </c>
      <c r="J187" s="78">
        <f>J11+J47+J109+J121+J131+J176+J67</f>
        <v>12487637</v>
      </c>
      <c r="K187" s="77">
        <f>K11+K47+K109+K121+K131+K176+K67+K168</f>
        <v>86218957.460000008</v>
      </c>
      <c r="L187" s="77">
        <f>L11+L47+L109+L121+L131+L176+L67+L168</f>
        <v>75136480.340000004</v>
      </c>
      <c r="M187" s="77">
        <f>M11+M47+M109+M121+M131+M176+M67+M168</f>
        <v>10612477.119999999</v>
      </c>
      <c r="N187" s="78">
        <f>N11+N47+N109+N121+N131+N176+N67</f>
        <v>578050</v>
      </c>
      <c r="O187" s="78">
        <f>O11+O47+O109+O121+O131+O176+O67</f>
        <v>296300</v>
      </c>
      <c r="P187" s="77">
        <f>P11+P47+P109+P121+P131+P176+P67+P168</f>
        <v>75606480.340000004</v>
      </c>
      <c r="Q187" s="77">
        <f t="shared" si="34"/>
        <v>498043238.03999996</v>
      </c>
      <c r="R187" s="61"/>
      <c r="S187" s="16"/>
      <c r="T187" s="17"/>
    </row>
    <row r="188" spans="1:20" s="14" customFormat="1" ht="34.5" customHeight="1">
      <c r="A188" s="111"/>
      <c r="B188" s="111"/>
      <c r="C188" s="111"/>
      <c r="D188" s="112"/>
      <c r="E188" s="111"/>
      <c r="F188" s="113"/>
      <c r="G188" s="113"/>
      <c r="H188" s="113"/>
      <c r="I188" s="113"/>
      <c r="J188" s="114"/>
      <c r="K188" s="113"/>
      <c r="L188" s="113"/>
      <c r="M188" s="113"/>
      <c r="N188" s="114"/>
      <c r="O188" s="114"/>
      <c r="P188" s="113"/>
      <c r="Q188" s="113"/>
      <c r="R188" s="115"/>
      <c r="S188" s="116"/>
      <c r="T188" s="18"/>
    </row>
    <row r="189" spans="1:20" s="14" customFormat="1" ht="57" customHeight="1">
      <c r="A189" s="144" t="s">
        <v>503</v>
      </c>
      <c r="B189" s="144"/>
      <c r="C189" s="144"/>
      <c r="D189" s="144"/>
      <c r="E189" s="144"/>
      <c r="F189" s="144"/>
      <c r="G189" s="144"/>
      <c r="H189" s="144"/>
      <c r="I189" s="144"/>
      <c r="J189" s="144"/>
      <c r="K189" s="144"/>
      <c r="L189" s="144"/>
      <c r="M189" s="144"/>
      <c r="N189" s="144"/>
      <c r="O189" s="144"/>
      <c r="P189" s="144"/>
      <c r="Q189" s="144"/>
      <c r="T189" s="18"/>
    </row>
    <row r="190" spans="1:20" s="31" customFormat="1" ht="21.75" customHeight="1">
      <c r="A190" s="144"/>
      <c r="B190" s="144"/>
      <c r="C190" s="144"/>
      <c r="D190" s="144"/>
      <c r="E190" s="144"/>
      <c r="F190" s="144"/>
      <c r="G190" s="144"/>
      <c r="H190" s="144"/>
      <c r="I190" s="144"/>
      <c r="J190" s="144"/>
      <c r="K190" s="144"/>
      <c r="L190" s="144"/>
      <c r="M190" s="144"/>
      <c r="N190" s="144"/>
      <c r="O190" s="144"/>
      <c r="P190" s="144"/>
      <c r="Q190" s="144"/>
      <c r="T190" s="32"/>
    </row>
  </sheetData>
  <mergeCells count="30">
    <mergeCell ref="A189:Q190"/>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 ref="G7:G9"/>
    <mergeCell ref="A5:C5"/>
    <mergeCell ref="F7:F9"/>
    <mergeCell ref="C6:C9"/>
    <mergeCell ref="E6:E9"/>
    <mergeCell ref="A6:A9"/>
    <mergeCell ref="B6:B9"/>
    <mergeCell ref="N4:Q4"/>
    <mergeCell ref="N1:Q1"/>
    <mergeCell ref="N2:Q2"/>
    <mergeCell ref="A2:M2"/>
    <mergeCell ref="N3:Q3"/>
    <mergeCell ref="A3:M3"/>
    <mergeCell ref="A4:C4"/>
  </mergeCells>
  <phoneticPr fontId="5" type="noConversion"/>
  <printOptions horizontalCentered="1"/>
  <pageMargins left="0.19685039370078741" right="0.19685039370078741" top="0" bottom="3.937007874015748E-2" header="0.23622047244094491" footer="0"/>
  <pageSetup paperSize="9" scale="41" fitToHeight="4" orientation="landscape" r:id="rId1"/>
  <headerFooter alignWithMargins="0"/>
  <rowBreaks count="4" manualBreakCount="4">
    <brk id="37" max="16" man="1"/>
    <brk id="70" max="16" man="1"/>
    <brk id="118" max="16" man="1"/>
    <brk id="15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2020-03-26T09:47:55Z</cp:lastPrinted>
  <dcterms:created xsi:type="dcterms:W3CDTF">2002-10-09T16:25:59Z</dcterms:created>
  <dcterms:modified xsi:type="dcterms:W3CDTF">2020-03-27T10:48:18Z</dcterms:modified>
</cp:coreProperties>
</file>